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lmnvso3ds1.blm.doi.net\so\Users\datkinson\Desktop\SRCE_Cost_Data_File_2023\SRCE Cost Update 2023\2023_Cost_Data_File\"/>
    </mc:Choice>
  </mc:AlternateContent>
  <xr:revisionPtr revIDLastSave="0" documentId="13_ncr:1_{AA5EF4B5-B9F5-4F2A-8427-A78F0B4552CC}" xr6:coauthVersionLast="47" xr6:coauthVersionMax="47" xr10:uidLastSave="{00000000-0000-0000-0000-000000000000}"/>
  <workbookProtection workbookPassword="DD80" lockStructure="1"/>
  <bookViews>
    <workbookView xWindow="-110" yWindow="-110" windowWidth="19420" windowHeight="10420" xr2:uid="{00000000-000D-0000-FFFF-FFFF00000000}"/>
  </bookViews>
  <sheets>
    <sheet name="Cost Estimate" sheetId="1" r:id="rId1"/>
    <sheet name="Roads" sheetId="2" state="hidden" r:id="rId2"/>
    <sheet name="Drill Sites" sheetId="4" state="hidden" r:id="rId3"/>
    <sheet name="Sumps" sheetId="5" state="hidden" r:id="rId4"/>
    <sheet name="Trenches" sheetId="6" state="hidden" r:id="rId5"/>
    <sheet name="X-country" sheetId="3" state="hidden" r:id="rId6"/>
    <sheet name="LaborEquipMatls" sheetId="7" state="hidden" r:id="rId7"/>
  </sheets>
  <definedNames>
    <definedName name="_xlnm.Print_Area" localSheetId="0">'Cost Estimate'!$A$1:$I$109</definedName>
    <definedName name="_xlnm.Print_Area" localSheetId="2">'Drill Sites'!$A$1:$N$12</definedName>
    <definedName name="_xlnm.Print_Area" localSheetId="6">LaborEquipMatls!$A$1:$N$28</definedName>
    <definedName name="_xlnm.Print_Area" localSheetId="1">'Roads'!$A$1:$M$12</definedName>
    <definedName name="_xlnm.Print_Area" localSheetId="3">Sumps!$A$1:$P$11</definedName>
    <definedName name="_xlnm.Print_Area" localSheetId="4">Trenches!$A$1:$N$11</definedName>
    <definedName name="_xlnm.Print_Area" localSheetId="5">'X-country'!$A$1:$H$17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D6" i="1"/>
  <c r="E32" i="1"/>
  <c r="E23" i="1"/>
  <c r="F23" i="1"/>
  <c r="E24" i="1"/>
  <c r="D24" i="1"/>
  <c r="J24" i="1" s="1"/>
  <c r="I23" i="1"/>
  <c r="I24" i="1"/>
  <c r="C4" i="2"/>
  <c r="J4" i="2" s="1"/>
  <c r="C5" i="2"/>
  <c r="D4" i="4"/>
  <c r="K4" i="4" s="1"/>
  <c r="D5" i="4"/>
  <c r="K5" i="4" s="1"/>
  <c r="D6" i="4"/>
  <c r="K6" i="4" s="1"/>
  <c r="B13" i="1"/>
  <c r="E5" i="5" s="1"/>
  <c r="C5" i="6"/>
  <c r="J5" i="6" s="1"/>
  <c r="K5" i="6" s="1"/>
  <c r="K7" i="6" s="1"/>
  <c r="E4" i="3"/>
  <c r="G4" i="3" s="1"/>
  <c r="H4" i="3" s="1"/>
  <c r="D15" i="3"/>
  <c r="G15" i="3" s="1"/>
  <c r="H15" i="3" s="1"/>
  <c r="D14" i="3"/>
  <c r="G14" i="3"/>
  <c r="H14" i="3" s="1"/>
  <c r="D13" i="3"/>
  <c r="G13" i="3" s="1"/>
  <c r="H13" i="3" s="1"/>
  <c r="D12" i="3"/>
  <c r="G12" i="3" s="1"/>
  <c r="D11" i="3"/>
  <c r="G11" i="3" s="1"/>
  <c r="H11" i="3" s="1"/>
  <c r="D10" i="3"/>
  <c r="G10" i="3" s="1"/>
  <c r="H10" i="3" s="1"/>
  <c r="D9" i="3"/>
  <c r="G9" i="3" s="1"/>
  <c r="H9" i="3" s="1"/>
  <c r="D8" i="3"/>
  <c r="G8" i="3" s="1"/>
  <c r="H8" i="3" s="1"/>
  <c r="D7" i="3"/>
  <c r="D6" i="3"/>
  <c r="G6" i="3"/>
  <c r="H6" i="3" s="1"/>
  <c r="D5" i="3"/>
  <c r="G5" i="3" s="1"/>
  <c r="H5" i="3" s="1"/>
  <c r="J12" i="7"/>
  <c r="C9" i="7"/>
  <c r="C10" i="7" s="1"/>
  <c r="D29" i="1"/>
  <c r="D28" i="1"/>
  <c r="D27" i="1"/>
  <c r="D17" i="1"/>
  <c r="D16" i="1"/>
  <c r="D12" i="1"/>
  <c r="D11" i="1"/>
  <c r="D10" i="1"/>
  <c r="D7" i="1"/>
  <c r="D23" i="1"/>
  <c r="J23" i="1" s="1"/>
  <c r="H16" i="1"/>
  <c r="I16" i="1" s="1"/>
  <c r="H29" i="1"/>
  <c r="I29" i="1" s="1"/>
  <c r="H10" i="1"/>
  <c r="I10" i="1" s="1"/>
  <c r="H13" i="1"/>
  <c r="H20" i="1"/>
  <c r="H27" i="1"/>
  <c r="I27" i="1" s="1"/>
  <c r="I32" i="1"/>
  <c r="H7" i="1"/>
  <c r="I7" i="1" s="1"/>
  <c r="H11" i="1"/>
  <c r="I11" i="1" s="1"/>
  <c r="H17" i="1"/>
  <c r="I17" i="1" s="1"/>
  <c r="I33" i="1"/>
  <c r="H28" i="1"/>
  <c r="I28" i="1" s="1"/>
  <c r="D32" i="1"/>
  <c r="J32" i="1" s="1"/>
  <c r="E33" i="1"/>
  <c r="D33" i="1"/>
  <c r="J33" i="1" s="1"/>
  <c r="L6" i="1"/>
  <c r="L7" i="1"/>
  <c r="L10" i="1"/>
  <c r="L11" i="1"/>
  <c r="G12" i="1"/>
  <c r="H12" i="1" s="1"/>
  <c r="I12" i="1" s="1"/>
  <c r="L16" i="1"/>
  <c r="L17" i="1"/>
  <c r="L23" i="1"/>
  <c r="L24" i="1"/>
  <c r="L27" i="1"/>
  <c r="L28" i="1"/>
  <c r="L29" i="1"/>
  <c r="K7" i="1"/>
  <c r="K10" i="1"/>
  <c r="K11" i="1"/>
  <c r="K12" i="1"/>
  <c r="K16" i="1"/>
  <c r="K17" i="1"/>
  <c r="K27" i="1"/>
  <c r="K28" i="1"/>
  <c r="K29" i="1"/>
  <c r="J7" i="1"/>
  <c r="J10" i="1"/>
  <c r="J11" i="1"/>
  <c r="J12" i="1"/>
  <c r="J16" i="1"/>
  <c r="J17" i="1"/>
  <c r="J27" i="1"/>
  <c r="J28" i="1"/>
  <c r="J29" i="1"/>
  <c r="A1" i="1"/>
  <c r="H6" i="4"/>
  <c r="J6" i="4" s="1"/>
  <c r="H4" i="4"/>
  <c r="J4" i="4" s="1"/>
  <c r="S4" i="4" s="1"/>
  <c r="T4" i="4" s="1"/>
  <c r="AG6" i="4"/>
  <c r="AH6" i="4" s="1"/>
  <c r="AL6" i="4" s="1"/>
  <c r="U6" i="4"/>
  <c r="V6" i="4" s="1"/>
  <c r="Z6" i="4" s="1"/>
  <c r="AM6" i="4"/>
  <c r="AA6" i="4"/>
  <c r="M5" i="6"/>
  <c r="AL4" i="2"/>
  <c r="AF4" i="2"/>
  <c r="AG4" i="2" s="1"/>
  <c r="AK4" i="2" s="1"/>
  <c r="Z4" i="2"/>
  <c r="T4" i="2"/>
  <c r="U4" i="2" s="1"/>
  <c r="Y4" i="2" s="1"/>
  <c r="B5" i="2"/>
  <c r="AL5" i="2" s="1"/>
  <c r="AF5" i="2"/>
  <c r="AG5" i="2" s="1"/>
  <c r="AK5" i="2" s="1"/>
  <c r="T5" i="2"/>
  <c r="U5" i="2" s="1"/>
  <c r="Y5" i="2" s="1"/>
  <c r="AM4" i="4"/>
  <c r="AG4" i="4"/>
  <c r="AH4" i="4" s="1"/>
  <c r="AL4" i="4" s="1"/>
  <c r="AA4" i="4"/>
  <c r="U4" i="4"/>
  <c r="V4" i="4" s="1"/>
  <c r="Z4" i="4" s="1"/>
  <c r="AM5" i="4"/>
  <c r="AG5" i="4"/>
  <c r="AH5" i="4" s="1"/>
  <c r="AL5" i="4" s="1"/>
  <c r="H5" i="4"/>
  <c r="J5" i="4" s="1"/>
  <c r="AA5" i="4"/>
  <c r="U5" i="4"/>
  <c r="V5" i="4"/>
  <c r="Z5" i="4" s="1"/>
  <c r="H5" i="5"/>
  <c r="L5" i="5" s="1"/>
  <c r="D4" i="3"/>
  <c r="AY4" i="2"/>
  <c r="AZ4" i="2" s="1"/>
  <c r="P5" i="6"/>
  <c r="P7" i="6" s="1"/>
  <c r="A2" i="5"/>
  <c r="F24" i="1"/>
  <c r="F32" i="1"/>
  <c r="F33" i="1"/>
  <c r="M13" i="7"/>
  <c r="N13" i="7"/>
  <c r="M11" i="7"/>
  <c r="N11" i="7" s="1"/>
  <c r="M8" i="7"/>
  <c r="N8" i="7"/>
  <c r="M7" i="7"/>
  <c r="N7" i="7"/>
  <c r="M6" i="7"/>
  <c r="N6" i="7" s="1"/>
  <c r="M5" i="7"/>
  <c r="N5" i="7"/>
  <c r="M4" i="7"/>
  <c r="N4" i="7" s="1"/>
  <c r="L3" i="7"/>
  <c r="L9" i="7" s="1"/>
  <c r="L13" i="7"/>
  <c r="F11" i="7"/>
  <c r="K11" i="7" s="1"/>
  <c r="F13" i="7"/>
  <c r="J5" i="5"/>
  <c r="K5" i="5"/>
  <c r="K7" i="5" s="1"/>
  <c r="C7" i="5"/>
  <c r="F9" i="7"/>
  <c r="K9" i="7" s="1"/>
  <c r="F8" i="7"/>
  <c r="J8" i="7"/>
  <c r="F7" i="7"/>
  <c r="J7" i="7"/>
  <c r="F6" i="7"/>
  <c r="I6" i="7"/>
  <c r="F5" i="7"/>
  <c r="I5" i="7" s="1"/>
  <c r="F4" i="7"/>
  <c r="I4" i="7"/>
  <c r="A2" i="6"/>
  <c r="A2" i="4"/>
  <c r="A2" i="3"/>
  <c r="A2" i="2"/>
  <c r="J13" i="1"/>
  <c r="G4" i="2"/>
  <c r="I4" i="2" s="1"/>
  <c r="G5" i="2"/>
  <c r="I5" i="2"/>
  <c r="AD5" i="2" s="1"/>
  <c r="AE5" i="2" s="1"/>
  <c r="AH5" i="2" s="1"/>
  <c r="AY5" i="2"/>
  <c r="AV5" i="2"/>
  <c r="AW5" i="2" s="1"/>
  <c r="G7" i="3"/>
  <c r="H7" i="3" s="1"/>
  <c r="L7" i="7"/>
  <c r="L8" i="7"/>
  <c r="L11" i="7"/>
  <c r="Q5" i="2"/>
  <c r="AC5" i="2" s="1"/>
  <c r="L12" i="1" l="1"/>
  <c r="K13" i="1"/>
  <c r="D13" i="1"/>
  <c r="E17" i="3"/>
  <c r="C39" i="1" s="1"/>
  <c r="N5" i="6"/>
  <c r="N7" i="6" s="1"/>
  <c r="D38" i="1" s="1"/>
  <c r="J6" i="1"/>
  <c r="H6" i="1"/>
  <c r="I6" i="1" s="1"/>
  <c r="AE6" i="4"/>
  <c r="AF6" i="4" s="1"/>
  <c r="AI6" i="4" s="1"/>
  <c r="S6" i="4"/>
  <c r="T6" i="4" s="1"/>
  <c r="M5" i="5"/>
  <c r="N5" i="5" s="1"/>
  <c r="O5" i="5" s="1"/>
  <c r="L7" i="5"/>
  <c r="S5" i="4"/>
  <c r="T5" i="4" s="1"/>
  <c r="AE5" i="4"/>
  <c r="AF5" i="4" s="1"/>
  <c r="AI5" i="4" s="1"/>
  <c r="Q4" i="2"/>
  <c r="R4" i="2"/>
  <c r="S4" i="2" s="1"/>
  <c r="W4" i="2" s="1"/>
  <c r="AD4" i="2"/>
  <c r="AE4" i="2" s="1"/>
  <c r="AH4" i="2" s="1"/>
  <c r="AO6" i="4"/>
  <c r="R5" i="5"/>
  <c r="R7" i="5" s="1"/>
  <c r="K33" i="1"/>
  <c r="D17" i="3"/>
  <c r="K32" i="1"/>
  <c r="D8" i="4"/>
  <c r="K24" i="1"/>
  <c r="K23" i="1"/>
  <c r="C7" i="6"/>
  <c r="C38" i="1" s="1"/>
  <c r="C7" i="2"/>
  <c r="C35" i="1" s="1"/>
  <c r="I13" i="1"/>
  <c r="L13" i="1"/>
  <c r="F5" i="6"/>
  <c r="G5" i="6" s="1"/>
  <c r="I5" i="6" s="1"/>
  <c r="I7" i="6" s="1"/>
  <c r="W6" i="4"/>
  <c r="X6" i="4"/>
  <c r="L10" i="7"/>
  <c r="M10" i="7"/>
  <c r="N10" i="7" s="1"/>
  <c r="F10" i="7"/>
  <c r="K10" i="7" s="1"/>
  <c r="AO5" i="4"/>
  <c r="H12" i="3"/>
  <c r="G17" i="3"/>
  <c r="AC6" i="4"/>
  <c r="AP6" i="4" s="1"/>
  <c r="X4" i="2"/>
  <c r="AC4" i="2"/>
  <c r="AC4" i="4"/>
  <c r="X4" i="4"/>
  <c r="W4" i="4"/>
  <c r="AN5" i="2"/>
  <c r="AN4" i="2"/>
  <c r="AI5" i="2"/>
  <c r="AJ5" i="2"/>
  <c r="AM5" i="2" s="1"/>
  <c r="X5" i="4"/>
  <c r="W5" i="4"/>
  <c r="AC5" i="4" s="1"/>
  <c r="R6" i="4"/>
  <c r="R5" i="4"/>
  <c r="AV4" i="2"/>
  <c r="AV8" i="2" s="1"/>
  <c r="R5" i="2"/>
  <c r="S5" i="2" s="1"/>
  <c r="R4" i="4"/>
  <c r="Z5" i="2"/>
  <c r="J5" i="2"/>
  <c r="X5" i="2"/>
  <c r="AE4" i="4"/>
  <c r="AF4" i="4" s="1"/>
  <c r="AI4" i="4" s="1"/>
  <c r="AO4" i="4" s="1"/>
  <c r="AP4" i="4" s="1"/>
  <c r="M9" i="7"/>
  <c r="N9" i="7" s="1"/>
  <c r="H17" i="3"/>
  <c r="D39" i="1" s="1"/>
  <c r="AY8" i="2"/>
  <c r="P5" i="5"/>
  <c r="P7" i="5" s="1"/>
  <c r="B37" i="1" s="1"/>
  <c r="F5" i="5"/>
  <c r="G5" i="5" s="1"/>
  <c r="G7" i="5" s="1"/>
  <c r="E7" i="5"/>
  <c r="B38" i="1" l="1"/>
  <c r="V4" i="2"/>
  <c r="AB4" i="2" s="1"/>
  <c r="AO4" i="2" s="1"/>
  <c r="B39" i="1"/>
  <c r="AR6" i="4"/>
  <c r="M6" i="4"/>
  <c r="O6" i="4"/>
  <c r="M4" i="4"/>
  <c r="O4" i="4"/>
  <c r="AR4" i="4"/>
  <c r="AD5" i="4"/>
  <c r="Y5" i="4"/>
  <c r="AP5" i="4"/>
  <c r="AD4" i="4"/>
  <c r="Y4" i="4"/>
  <c r="I5" i="5"/>
  <c r="I7" i="5" s="1"/>
  <c r="Y6" i="4"/>
  <c r="AD6" i="4"/>
  <c r="AI4" i="2"/>
  <c r="AJ4" i="2"/>
  <c r="AM4" i="2" s="1"/>
  <c r="V5" i="2"/>
  <c r="AS5" i="2" s="1"/>
  <c r="AT5" i="2" s="1"/>
  <c r="BB5" i="2" s="1"/>
  <c r="W5" i="2"/>
  <c r="O4" i="2"/>
  <c r="P4" i="2" s="1"/>
  <c r="AW4" i="2" s="1"/>
  <c r="AW8" i="2" s="1"/>
  <c r="AS4" i="2"/>
  <c r="AT4" i="2" s="1"/>
  <c r="BB4" i="2" s="1"/>
  <c r="D37" i="1"/>
  <c r="AQ4" i="2" l="1"/>
  <c r="L4" i="2"/>
  <c r="N4" i="2"/>
  <c r="AA4" i="2"/>
  <c r="AP4" i="2"/>
  <c r="AR4" i="2"/>
  <c r="M4" i="2"/>
  <c r="K4" i="2"/>
  <c r="AJ4" i="4"/>
  <c r="AQ4" i="4" s="1"/>
  <c r="AK4" i="4"/>
  <c r="AN4" i="4" s="1"/>
  <c r="AR5" i="4"/>
  <c r="O5" i="4"/>
  <c r="O8" i="4" s="1"/>
  <c r="D36" i="1" s="1"/>
  <c r="M5" i="4"/>
  <c r="BB8" i="2"/>
  <c r="O5" i="2"/>
  <c r="P5" i="2" s="1"/>
  <c r="AT6" i="4"/>
  <c r="AU6" i="4" s="1"/>
  <c r="AB6" i="4"/>
  <c r="P6" i="4"/>
  <c r="Q6" i="4" s="1"/>
  <c r="AB5" i="2"/>
  <c r="AO5" i="2" s="1"/>
  <c r="AJ6" i="4"/>
  <c r="AQ6" i="4" s="1"/>
  <c r="AK6" i="4"/>
  <c r="AN6" i="4" s="1"/>
  <c r="AA5" i="2"/>
  <c r="P5" i="4"/>
  <c r="Q5" i="4" s="1"/>
  <c r="AB5" i="4"/>
  <c r="AT5" i="4"/>
  <c r="AU5" i="4" s="1"/>
  <c r="P4" i="4"/>
  <c r="Q4" i="4" s="1"/>
  <c r="AT4" i="4"/>
  <c r="AU4" i="4" s="1"/>
  <c r="AB4" i="4"/>
  <c r="AK5" i="4"/>
  <c r="AN5" i="4" s="1"/>
  <c r="AJ5" i="4"/>
  <c r="AQ5" i="4" s="1"/>
  <c r="P7" i="2" l="1"/>
  <c r="AZ5" i="2"/>
  <c r="AZ8" i="2" s="1"/>
  <c r="N4" i="4"/>
  <c r="L4" i="4"/>
  <c r="AS4" i="4"/>
  <c r="N5" i="4"/>
  <c r="AS5" i="4"/>
  <c r="L5" i="4"/>
  <c r="N5" i="2"/>
  <c r="N7" i="2" s="1"/>
  <c r="D35" i="1" s="1"/>
  <c r="D40" i="1" s="1"/>
  <c r="B20" i="1" s="1"/>
  <c r="L5" i="2"/>
  <c r="AQ5" i="2"/>
  <c r="AP5" i="2"/>
  <c r="N6" i="4"/>
  <c r="L6" i="4"/>
  <c r="AS6" i="4"/>
  <c r="I20" i="1" l="1"/>
  <c r="L20" i="1"/>
  <c r="L36" i="1" s="1"/>
  <c r="K20" i="1"/>
  <c r="K36" i="1" s="1"/>
  <c r="D20" i="1"/>
  <c r="I40" i="1" s="1"/>
  <c r="I45" i="1" s="1"/>
  <c r="J20" i="1"/>
  <c r="J36" i="1" s="1"/>
  <c r="M5" i="2"/>
  <c r="M7" i="2" s="1"/>
  <c r="B35" i="1" s="1"/>
  <c r="K5" i="2"/>
  <c r="AR5" i="2"/>
  <c r="N8" i="4"/>
  <c r="B36" i="1" s="1"/>
  <c r="B40" i="1" l="1"/>
  <c r="I36" i="1" s="1"/>
  <c r="M36" i="1"/>
  <c r="J38" i="1" l="1"/>
  <c r="L38" i="1"/>
  <c r="K38" i="1"/>
  <c r="I48" i="1"/>
  <c r="I49" i="1" s="1"/>
  <c r="H44" i="1"/>
  <c r="I46" i="1" s="1"/>
  <c r="I47" i="1"/>
  <c r="I52" i="1" l="1"/>
  <c r="I54" i="1" s="1"/>
  <c r="J54" i="1" s="1"/>
  <c r="D54" i="1" s="1"/>
  <c r="I43" i="1" l="1"/>
</calcChain>
</file>

<file path=xl/sharedStrings.xml><?xml version="1.0" encoding="utf-8"?>
<sst xmlns="http://schemas.openxmlformats.org/spreadsheetml/2006/main" count="442" uniqueCount="300">
  <si>
    <t>Cost/Linear Foot</t>
  </si>
  <si>
    <t>Linear Feet of Road</t>
  </si>
  <si>
    <t>Linear</t>
  </si>
  <si>
    <t>Manpower</t>
  </si>
  <si>
    <t>Equipment</t>
  </si>
  <si>
    <t>Materials</t>
  </si>
  <si>
    <t>Road Reclamation</t>
  </si>
  <si>
    <t>On a Side Slope</t>
  </si>
  <si>
    <t>Feet</t>
  </si>
  <si>
    <t>&lt;30%</t>
  </si>
  <si>
    <t>Recontouring Cost</t>
  </si>
  <si>
    <t>&gt;30%</t>
  </si>
  <si>
    <t>Revegetation Cost</t>
  </si>
  <si>
    <t>Reclamation</t>
  </si>
  <si>
    <t>Cost/Foot</t>
  </si>
  <si>
    <t>#/Feet</t>
  </si>
  <si>
    <t>Drill Hole Plugging</t>
  </si>
  <si>
    <t>Feet of Open Holes - Wet</t>
  </si>
  <si>
    <t>Feet of Open Holes - Dry</t>
  </si>
  <si>
    <t>Insurance</t>
  </si>
  <si>
    <t>Total Labor</t>
  </si>
  <si>
    <t>Total Reclamation Cost</t>
  </si>
  <si>
    <t>Labor Cost</t>
  </si>
  <si>
    <t>Drill Holes Open</t>
  </si>
  <si>
    <t>Total Administration Cost</t>
  </si>
  <si>
    <t>1.5% Labor Cost</t>
  </si>
  <si>
    <t>Contractor Profit</t>
  </si>
  <si>
    <t>Bond Condition</t>
  </si>
  <si>
    <t>Mobilization Cost - Wet</t>
  </si>
  <si>
    <t>Mobilization Cost - Dry</t>
  </si>
  <si>
    <t>Recontouring Cost &lt;30%</t>
  </si>
  <si>
    <t>Recontouring Cost &gt;30%</t>
  </si>
  <si>
    <t>Plugging Cost - Wet</t>
  </si>
  <si>
    <t>Plugging Cost - Dry</t>
  </si>
  <si>
    <t>Indirect Costs</t>
  </si>
  <si>
    <t>Financial Guarantee</t>
  </si>
  <si>
    <t>Amount</t>
  </si>
  <si>
    <t>3% Total Reclamation Cost</t>
  </si>
  <si>
    <t>10% Total Reclamation Cost</t>
  </si>
  <si>
    <t>Contract Administration</t>
  </si>
  <si>
    <t>21% of Contract Administration Cost</t>
  </si>
  <si>
    <t>2-track ID</t>
  </si>
  <si>
    <t>Total Acres</t>
  </si>
  <si>
    <t>total Notice acres</t>
  </si>
  <si>
    <t>Width in feet (Wt)</t>
  </si>
  <si>
    <t>Length in feet (L)</t>
  </si>
  <si>
    <t>depth</t>
  </si>
  <si>
    <t>Sump Vol in c.f.</t>
  </si>
  <si>
    <t>Sump Vol in c.y.</t>
  </si>
  <si>
    <t>Swell factor</t>
  </si>
  <si>
    <t>Regrade volume</t>
  </si>
  <si>
    <t>Muck pile height in ft. @ 2:1</t>
  </si>
  <si>
    <t>Width of muck pile in ft. @ 2:1 (Wm)</t>
  </si>
  <si>
    <t>Acres of Sump + muck pile</t>
  </si>
  <si>
    <t>Sump</t>
  </si>
  <si>
    <t>SUMP DIMENSIONS</t>
  </si>
  <si>
    <t>W*L*D</t>
  </si>
  <si>
    <t>(W*L*D)/27</t>
  </si>
  <si>
    <t xml:space="preserve"> G3*F3</t>
  </si>
  <si>
    <t>W*L</t>
  </si>
  <si>
    <t>(W*L)/43560</t>
  </si>
  <si>
    <t>W*D * swell factor</t>
  </si>
  <si>
    <t>(Wt+Wm)*L / 43560</t>
  </si>
  <si>
    <t>Total</t>
  </si>
  <si>
    <t>FILL</t>
  </si>
  <si>
    <t>CUT</t>
  </si>
  <si>
    <t xml:space="preserve">TOTAL ROAD </t>
  </si>
  <si>
    <t>Width in feet</t>
  </si>
  <si>
    <t>Length in feet</t>
  </si>
  <si>
    <t xml:space="preserve">Hill slope % </t>
  </si>
  <si>
    <t>Angle of Repose of Fill degrees</t>
  </si>
  <si>
    <t>Angle of cutbank degrees</t>
  </si>
  <si>
    <t>Arctan of Hill slope %</t>
  </si>
  <si>
    <t>Hill slope degrees</t>
  </si>
  <si>
    <t>Road surface area in acres</t>
  </si>
  <si>
    <t>Map width of disturb. per lin ft</t>
  </si>
  <si>
    <t>Slope corr. width of disturb. per lin. ft</t>
  </si>
  <si>
    <t>Total dis-turbance area in map acres</t>
  </si>
  <si>
    <t>Total dis-turbance area in slope corr. acres</t>
  </si>
  <si>
    <t>Regrade volume: CY per linear foot</t>
  </si>
  <si>
    <t>Total Regrade Volume CY</t>
  </si>
  <si>
    <t>Hill slope (Angle B) in radians</t>
  </si>
  <si>
    <t>Angle Af</t>
  </si>
  <si>
    <t>Angle Af in radians</t>
  </si>
  <si>
    <t>Angle Cf</t>
  </si>
  <si>
    <t>Angle Cf in radians</t>
  </si>
  <si>
    <t>sin Af</t>
  </si>
  <si>
    <t>cos Af</t>
  </si>
  <si>
    <t>sin Bf</t>
  </si>
  <si>
    <t>sin Cf</t>
  </si>
  <si>
    <t>side a</t>
  </si>
  <si>
    <t>side b</t>
  </si>
  <si>
    <t>side c</t>
  </si>
  <si>
    <t>Hill slope (Angle Bc) in radians</t>
  </si>
  <si>
    <t>Angle Ac</t>
  </si>
  <si>
    <t>Angle Ac in radians</t>
  </si>
  <si>
    <t>Angle Cc</t>
  </si>
  <si>
    <t>Angle Cc in radians</t>
  </si>
  <si>
    <t>sin Ac</t>
  </si>
  <si>
    <t>cos B</t>
  </si>
  <si>
    <t>sin Bc</t>
  </si>
  <si>
    <t>sin Cc</t>
  </si>
  <si>
    <t>Slope corr. width of road disturb. per lin. ft</t>
  </si>
  <si>
    <t>Map width of road disturb. per lin ft</t>
  </si>
  <si>
    <t>Slope corrected acres</t>
  </si>
  <si>
    <t>Map acres</t>
  </si>
  <si>
    <t>Regrade volume per linear foot in c.y.</t>
  </si>
  <si>
    <t>Total regrade volume</t>
  </si>
  <si>
    <t>Length on Map in Inches</t>
  </si>
  <si>
    <t>Square Feet of Disturbance</t>
  </si>
  <si>
    <t>Acres of Disturbance</t>
  </si>
  <si>
    <t>Map Scale in Feet per Inch</t>
  </si>
  <si>
    <t>Swell Factor</t>
  </si>
  <si>
    <t>Total Disturbance Width Both Tracks</t>
  </si>
  <si>
    <t>Roads &lt;30% Linear Feet</t>
  </si>
  <si>
    <t>Roads &gt;30% Linear Feet</t>
  </si>
  <si>
    <t>Roads &lt;30% CY</t>
  </si>
  <si>
    <t>Total Linear Feet</t>
  </si>
  <si>
    <t>Cross Country Travel</t>
  </si>
  <si>
    <t>Trench</t>
  </si>
  <si>
    <t>Trench Vol in c.f.</t>
  </si>
  <si>
    <t>Trench Vol in c.y.</t>
  </si>
  <si>
    <t>Trench area in acres</t>
  </si>
  <si>
    <t>Acres of Trench + muck pile</t>
  </si>
  <si>
    <t>Trench DIMENSIONS</t>
  </si>
  <si>
    <t>black font are model constants</t>
  </si>
  <si>
    <t>blue font is for user input</t>
  </si>
  <si>
    <t>green font are referred cell values</t>
  </si>
  <si>
    <t>red font are calculated values</t>
  </si>
  <si>
    <t>Feet of Casing to Pull</t>
  </si>
  <si>
    <t>Pulling Casing</t>
  </si>
  <si>
    <t>Drill Sites &lt; 30% slopes</t>
  </si>
  <si>
    <t>Drill Sites &gt; 30% slopes</t>
  </si>
  <si>
    <t>Sumps</t>
  </si>
  <si>
    <t>Trenches</t>
  </si>
  <si>
    <t>35</t>
  </si>
  <si>
    <t xml:space="preserve">325 Excavator </t>
  </si>
  <si>
    <t>D6 Dozer</t>
  </si>
  <si>
    <t>cost per unit</t>
  </si>
  <si>
    <t>hour</t>
  </si>
  <si>
    <t>acre</t>
  </si>
  <si>
    <t>Total per unit</t>
  </si>
  <si>
    <t>Drill rig with crew; abandonment</t>
  </si>
  <si>
    <t>Drill rig with crew; pull casing</t>
  </si>
  <si>
    <t>units</t>
  </si>
  <si>
    <t>CY/hr</t>
  </si>
  <si>
    <t>ft/hr</t>
  </si>
  <si>
    <t>Seeding, Broadcast, contractor</t>
  </si>
  <si>
    <t>$/CY</t>
  </si>
  <si>
    <t>$/acre</t>
  </si>
  <si>
    <t>$/lin ft</t>
  </si>
  <si>
    <t>Roads &gt;30% CY</t>
  </si>
  <si>
    <t>Count How Many Roads</t>
  </si>
  <si>
    <t>Count How Many Sumps</t>
  </si>
  <si>
    <t>Count How Many Trenches</t>
  </si>
  <si>
    <t>D7 Dozer</t>
  </si>
  <si>
    <t>Seeding, Manual</t>
  </si>
  <si>
    <t>acre/hr</t>
  </si>
  <si>
    <t>Seed</t>
  </si>
  <si>
    <t>D-B Labor</t>
  </si>
  <si>
    <t>SRCE Equipment</t>
  </si>
  <si>
    <t>SRCE Materials</t>
  </si>
  <si>
    <t>SRCE Productivity</t>
  </si>
  <si>
    <t>Bureau of Land Management Notice Level Reclamation Cost Estimation Worksheet</t>
  </si>
  <si>
    <t>Road Segment Number</t>
  </si>
  <si>
    <t>Assumed Road Width in Feet</t>
  </si>
  <si>
    <t>black font cannot be changed</t>
  </si>
  <si>
    <t>blue font are for operator to enter values.</t>
  </si>
  <si>
    <t>green font are referred values but can be changed by operator.</t>
  </si>
  <si>
    <t>red font are calculated values with formulas that should not be changed</t>
  </si>
  <si>
    <t># of Drill Sites</t>
  </si>
  <si>
    <t>Slope corr. width of drill sites disturb. per lin. ft</t>
  </si>
  <si>
    <t>Map width of drill sites disturb. per lin ft</t>
  </si>
  <si>
    <t>Drill Sites surface area in acres</t>
  </si>
  <si>
    <t>Angle of cutbank in degrees</t>
  </si>
  <si>
    <t>depth in feet (D)</t>
  </si>
  <si>
    <t># of Sumps</t>
  </si>
  <si>
    <t>#*W*L*D</t>
  </si>
  <si>
    <t>there are no user inputs on this page</t>
  </si>
  <si>
    <t>cross section area of muck pile</t>
  </si>
  <si>
    <t>width of trench + muck pile</t>
  </si>
  <si>
    <t xml:space="preserve"> SQRT((W*D * swell factor)/2)</t>
  </si>
  <si>
    <t xml:space="preserve"> Muck pile height*4</t>
  </si>
  <si>
    <t>trench width + pile width</t>
  </si>
  <si>
    <t>Light truck</t>
  </si>
  <si>
    <t>Mobilization Cost-excavator</t>
  </si>
  <si>
    <t>Mobilization Cost-dozer</t>
  </si>
  <si>
    <t>Backhoe &amp; operator</t>
  </si>
  <si>
    <t>Mob+Demob</t>
  </si>
  <si>
    <t>% labor</t>
  </si>
  <si>
    <t>% equip</t>
  </si>
  <si>
    <t>hours</t>
  </si>
  <si>
    <t>Mobilization time one way</t>
  </si>
  <si>
    <t>reconcile</t>
  </si>
  <si>
    <r>
      <t>1.  There are two side hill slope categories used for all calculations in this worksheet.  All slopes under 30%(</t>
    </r>
    <r>
      <rPr>
        <b/>
        <sz val="10"/>
        <rFont val="Arial"/>
        <family val="2"/>
      </rPr>
      <t>&lt;30%</t>
    </r>
    <r>
      <rPr>
        <sz val="10"/>
        <rFont val="Arial"/>
        <family val="2"/>
      </rPr>
      <t>) are assumed to have a slope of 20%.</t>
    </r>
  </si>
  <si>
    <r>
      <t xml:space="preserve">2.  All </t>
    </r>
    <r>
      <rPr>
        <b/>
        <sz val="10"/>
        <rFont val="Arial"/>
        <family val="2"/>
      </rPr>
      <t>Roads</t>
    </r>
    <r>
      <rPr>
        <sz val="10"/>
        <rFont val="Arial"/>
        <family val="2"/>
      </rPr>
      <t xml:space="preserve"> in this worksheet are assumed to have a 14 foot wide dimension across the flat "driveable" part of the road without any safety berms.</t>
    </r>
  </si>
  <si>
    <r>
      <t xml:space="preserve">4.  All </t>
    </r>
    <r>
      <rPr>
        <b/>
        <sz val="10"/>
        <rFont val="Arial"/>
        <family val="2"/>
      </rPr>
      <t>Road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cut banks are assumed to have a 60 degree slope.</t>
    </r>
  </si>
  <si>
    <r>
      <t xml:space="preserve">5.  All </t>
    </r>
    <r>
      <rPr>
        <b/>
        <sz val="10"/>
        <rFont val="Arial"/>
        <family val="2"/>
      </rPr>
      <t>Road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fill slopes are assumed to have an angle of repose of 1.4H:1V or about 70% slope equal to a 35 degree angle.</t>
    </r>
  </si>
  <si>
    <r>
      <t xml:space="preserve">6.  </t>
    </r>
    <r>
      <rPr>
        <b/>
        <sz val="10"/>
        <rFont val="Arial"/>
        <family val="2"/>
      </rPr>
      <t>Roads</t>
    </r>
    <r>
      <rPr>
        <sz val="10"/>
        <rFont val="Arial"/>
        <family val="2"/>
      </rPr>
      <t xml:space="preserve"> are linear features and the units required for input to this worksheet are in linear feet. </t>
    </r>
  </si>
  <si>
    <r>
      <t xml:space="preserve">8.  Equipment operator </t>
    </r>
    <r>
      <rPr>
        <b/>
        <sz val="10"/>
        <rFont val="Arial"/>
        <family val="2"/>
      </rPr>
      <t>Manpower</t>
    </r>
    <r>
      <rPr>
        <sz val="10"/>
        <rFont val="Arial"/>
        <family val="2"/>
      </rPr>
      <t xml:space="preserve"> cost is based on Davis-Bacon wage rates for</t>
    </r>
    <r>
      <rPr>
        <sz val="10"/>
        <color indexed="10"/>
        <rFont val="Arial"/>
        <family val="2"/>
      </rPr>
      <t xml:space="preserve"> Northern Nevada.</t>
    </r>
    <r>
      <rPr>
        <sz val="10"/>
        <color indexed="8"/>
        <rFont val="Arial"/>
        <family val="2"/>
      </rPr>
      <t xml:space="preserve"> </t>
    </r>
  </si>
  <si>
    <r>
      <t xml:space="preserve">       </t>
    </r>
    <r>
      <rPr>
        <sz val="10"/>
        <rFont val="Arial"/>
        <family val="2"/>
      </rPr>
      <t xml:space="preserve">If a drill hole will not penetrate the static water level it may be abandoned as an </t>
    </r>
    <r>
      <rPr>
        <b/>
        <sz val="10"/>
        <rFont val="Arial"/>
        <family val="2"/>
      </rPr>
      <t xml:space="preserve"> Open Hole - Dry</t>
    </r>
    <r>
      <rPr>
        <sz val="10"/>
        <rFont val="Arial"/>
        <family val="2"/>
      </rPr>
      <t>.</t>
    </r>
  </si>
  <si>
    <t>Disturbance Type</t>
  </si>
  <si>
    <t>Ripping Cost</t>
  </si>
  <si>
    <t>manpower</t>
  </si>
  <si>
    <t>equip</t>
  </si>
  <si>
    <t>materials</t>
  </si>
  <si>
    <t>Cost per acre</t>
  </si>
  <si>
    <t>No. of Trenches</t>
  </si>
  <si>
    <t>sump width + pile width</t>
  </si>
  <si>
    <t>Trench area in s.f.</t>
  </si>
  <si>
    <t>Sump area in s.f.</t>
  </si>
  <si>
    <t>Sump area in acres</t>
  </si>
  <si>
    <t>Linear Feet calculated</t>
  </si>
  <si>
    <t>Linear Feet direct input</t>
  </si>
  <si>
    <t>Roads</t>
  </si>
  <si>
    <t>Drill Sites</t>
  </si>
  <si>
    <t>Cross Country</t>
  </si>
  <si>
    <t>Length of Road in Feet</t>
  </si>
  <si>
    <t>Number</t>
  </si>
  <si>
    <t>Linear Feet</t>
  </si>
  <si>
    <t>Cost each</t>
  </si>
  <si>
    <t>EXCESS ACRES</t>
  </si>
  <si>
    <t>green cells with blue font is for user input</t>
  </si>
  <si>
    <t>yellow cells are unit costs</t>
  </si>
  <si>
    <t>Pad&amp; Sump</t>
  </si>
  <si>
    <t>150 miles Mobilization</t>
  </si>
  <si>
    <t>Drill Sites Cross Country</t>
  </si>
  <si>
    <t>Drill Sites and Sumps</t>
  </si>
  <si>
    <t>Slope Acres</t>
  </si>
  <si>
    <t>Cost/Acre</t>
  </si>
  <si>
    <t xml:space="preserve">The model will generate approximately the same reclamation costs  as the SRCE model if the same inputs and assumptions are applied.   </t>
  </si>
  <si>
    <t>Below are the methods and assumptions used by this model to generate a Financial Guarantee Amount.</t>
  </si>
  <si>
    <r>
      <t xml:space="preserve">       On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&lt;30%</t>
    </r>
    <r>
      <rPr>
        <sz val="10"/>
        <rFont val="Arial"/>
        <family val="2"/>
      </rPr>
      <t xml:space="preserve"> slopes they are assumed to be outside the </t>
    </r>
    <r>
      <rPr>
        <b/>
        <sz val="10"/>
        <rFont val="Arial"/>
        <family val="2"/>
      </rPr>
      <t>Drill Site</t>
    </r>
    <r>
      <rPr>
        <sz val="10"/>
        <rFont val="Arial"/>
        <family val="2"/>
      </rPr>
      <t xml:space="preserve">. </t>
    </r>
  </si>
  <si>
    <r>
      <t xml:space="preserve">       Revegetation costs for all </t>
    </r>
    <r>
      <rPr>
        <b/>
        <sz val="10"/>
        <rFont val="Arial"/>
        <family val="2"/>
      </rPr>
      <t xml:space="preserve">Cross Country </t>
    </r>
    <r>
      <rPr>
        <sz val="10"/>
        <rFont val="Arial"/>
        <family val="2"/>
      </rPr>
      <t>disturbance is based on a 12 foot wide seeding width on one pass.</t>
    </r>
  </si>
  <si>
    <r>
      <t xml:space="preserve">15.  </t>
    </r>
    <r>
      <rPr>
        <b/>
        <sz val="10"/>
        <rFont val="Arial"/>
        <family val="2"/>
      </rPr>
      <t>Recontouring</t>
    </r>
    <r>
      <rPr>
        <sz val="10"/>
        <rFont val="Arial"/>
        <family val="2"/>
      </rPr>
      <t xml:space="preserve"> earthwork for </t>
    </r>
    <r>
      <rPr>
        <b/>
        <sz val="10"/>
        <rFont val="Arial"/>
        <family val="2"/>
      </rPr>
      <t>Roads Drill Sites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Sumps</t>
    </r>
    <r>
      <rPr>
        <sz val="10"/>
        <rFont val="Arial"/>
        <family val="2"/>
      </rPr>
      <t xml:space="preserve"> has an assumed swell factor of 20%.  </t>
    </r>
    <r>
      <rPr>
        <b/>
        <sz val="10"/>
        <rFont val="Arial"/>
        <family val="2"/>
      </rPr>
      <t>Trenches</t>
    </r>
    <r>
      <rPr>
        <sz val="10"/>
        <rFont val="Arial"/>
        <family val="2"/>
      </rPr>
      <t xml:space="preserve"> swell factor is 30%.</t>
    </r>
  </si>
  <si>
    <r>
      <t xml:space="preserve">16.  </t>
    </r>
    <r>
      <rPr>
        <b/>
        <sz val="10"/>
        <rFont val="Arial"/>
        <family val="2"/>
      </rPr>
      <t>Cross Country</t>
    </r>
    <r>
      <rPr>
        <sz val="10"/>
        <rFont val="Arial"/>
        <family val="2"/>
      </rPr>
      <t xml:space="preserve"> travel is assumed to have a disturbance of 6 feet wide by the linear feet of travel on slopes under 10%.  </t>
    </r>
  </si>
  <si>
    <r>
      <t xml:space="preserve">18.  </t>
    </r>
    <r>
      <rPr>
        <b/>
        <sz val="10"/>
        <rFont val="Arial"/>
        <family val="2"/>
      </rPr>
      <t>Mobilization</t>
    </r>
    <r>
      <rPr>
        <sz val="10"/>
        <rFont val="Arial"/>
        <family val="2"/>
      </rPr>
      <t xml:space="preserve"> for a Cat 320C excavator will be charged for regrading of </t>
    </r>
    <r>
      <rPr>
        <b/>
        <sz val="10"/>
        <rFont val="Arial"/>
        <family val="2"/>
      </rPr>
      <t>Roads, Drill Sites</t>
    </r>
    <r>
      <rPr>
        <sz val="10"/>
        <rFont val="Arial"/>
        <family val="2"/>
      </rPr>
      <t xml:space="preserve"> only.  </t>
    </r>
  </si>
  <si>
    <r>
      <t xml:space="preserve">19.  All projects that propose drilling will require a minimum </t>
    </r>
    <r>
      <rPr>
        <b/>
        <sz val="10"/>
        <rFont val="Arial"/>
        <family val="2"/>
      </rPr>
      <t xml:space="preserve">Drill Holes Open </t>
    </r>
    <r>
      <rPr>
        <sz val="10"/>
        <rFont val="Arial"/>
        <family val="2"/>
      </rPr>
      <t>abandonment cost</t>
    </r>
    <r>
      <rPr>
        <sz val="10"/>
        <rFont val="Arial"/>
        <family val="2"/>
      </rPr>
      <t xml:space="preserve">.  </t>
    </r>
  </si>
  <si>
    <r>
      <t xml:space="preserve">20.  </t>
    </r>
    <r>
      <rPr>
        <b/>
        <sz val="10"/>
        <rFont val="Arial"/>
        <family val="2"/>
      </rPr>
      <t>Mobilization</t>
    </r>
    <r>
      <rPr>
        <sz val="10"/>
        <rFont val="Arial"/>
        <family val="2"/>
      </rPr>
      <t xml:space="preserve"> for </t>
    </r>
    <r>
      <rPr>
        <b/>
        <sz val="10"/>
        <rFont val="Arial"/>
        <family val="2"/>
      </rPr>
      <t>Drill Holes - Open</t>
    </r>
    <r>
      <rPr>
        <sz val="10"/>
        <rFont val="Arial"/>
        <family val="2"/>
      </rPr>
      <t xml:space="preserve"> for </t>
    </r>
    <r>
      <rPr>
        <b/>
        <sz val="10"/>
        <rFont val="Arial"/>
        <family val="2"/>
      </rPr>
      <t>Open Hole - Wet</t>
    </r>
    <r>
      <rPr>
        <sz val="10"/>
        <rFont val="Arial"/>
        <family val="2"/>
      </rPr>
      <t xml:space="preserve"> will include one drill rig plus crew and support equipment.</t>
    </r>
  </si>
  <si>
    <r>
      <t xml:space="preserve">       </t>
    </r>
    <r>
      <rPr>
        <b/>
        <sz val="10"/>
        <rFont val="Arial"/>
        <family val="2"/>
      </rPr>
      <t xml:space="preserve">Drill Sites </t>
    </r>
    <r>
      <rPr>
        <sz val="10"/>
        <rFont val="Arial"/>
        <family val="2"/>
      </rPr>
      <t xml:space="preserve">on slopes &gt;30% are 30 feet wide by 83 feet long.  </t>
    </r>
  </si>
  <si>
    <r>
      <t xml:space="preserve">12. 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recontouring cost is based on a standard pad width and length.  </t>
    </r>
  </si>
  <si>
    <r>
      <t xml:space="preserve">21.  </t>
    </r>
    <r>
      <rPr>
        <b/>
        <sz val="10"/>
        <rFont val="Arial"/>
        <family val="2"/>
      </rPr>
      <t>Mobilization</t>
    </r>
    <r>
      <rPr>
        <sz val="10"/>
        <rFont val="Arial"/>
        <family val="2"/>
      </rPr>
      <t xml:space="preserve"> for </t>
    </r>
    <r>
      <rPr>
        <b/>
        <sz val="10"/>
        <rFont val="Arial"/>
        <family val="2"/>
      </rPr>
      <t>Drill Holes - Open</t>
    </r>
    <r>
      <rPr>
        <sz val="10"/>
        <rFont val="Arial"/>
        <family val="2"/>
      </rPr>
      <t xml:space="preserve"> for </t>
    </r>
    <r>
      <rPr>
        <b/>
        <sz val="10"/>
        <rFont val="Arial"/>
        <family val="2"/>
      </rPr>
      <t>Open Hole - Dry</t>
    </r>
    <r>
      <rPr>
        <sz val="10"/>
        <rFont val="Arial"/>
        <family val="2"/>
      </rPr>
      <t xml:space="preserve"> will include one backhoe and operator, and one general laborer.</t>
    </r>
  </si>
  <si>
    <r>
      <t xml:space="preserve">      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on slopes &lt;30%and </t>
    </r>
    <r>
      <rPr>
        <b/>
        <sz val="10"/>
        <rFont val="Arial"/>
        <family val="2"/>
      </rPr>
      <t>Cross Country Drill Sites</t>
    </r>
    <r>
      <rPr>
        <sz val="10"/>
        <rFont val="Arial"/>
        <family val="2"/>
      </rPr>
      <t xml:space="preserve"> are 30 feet wide by 70 feet long.  </t>
    </r>
  </si>
  <si>
    <r>
      <t xml:space="preserve">13.  One </t>
    </r>
    <r>
      <rPr>
        <b/>
        <sz val="10"/>
        <rFont val="Arial"/>
        <family val="2"/>
      </rPr>
      <t>Sump</t>
    </r>
    <r>
      <rPr>
        <sz val="10"/>
        <rFont val="Arial"/>
        <family val="2"/>
      </rPr>
      <t xml:space="preserve"> is assumed for each </t>
    </r>
    <r>
      <rPr>
        <b/>
        <sz val="10"/>
        <rFont val="Arial"/>
        <family val="2"/>
      </rPr>
      <t>Drill Site</t>
    </r>
    <r>
      <rPr>
        <sz val="10"/>
        <rFont val="Arial"/>
        <family val="2"/>
      </rPr>
      <t>.  The assumed dimensions are 10 feet wide, 20 feet long and 6.75 feet deep.  (50 CY)</t>
    </r>
  </si>
  <si>
    <t xml:space="preserve">Notice Level Exploration Reclamation Cost Model </t>
  </si>
  <si>
    <t>From SRCE Cost Data with Acreage Calculators</t>
  </si>
  <si>
    <t>Width of muck pile in feet</t>
  </si>
  <si>
    <t>Perf. And Payment Bonds*</t>
  </si>
  <si>
    <t>Contingency*</t>
  </si>
  <si>
    <t>* Contingency and Performance and payment Bonds required only if total reclamation cost &gt; $100,000</t>
  </si>
  <si>
    <t>Total Revegetation Acres</t>
  </si>
  <si>
    <t>total slope acres</t>
  </si>
  <si>
    <t>SRCE COSTS FROM VERSION 1.1.2   ALL COSTS ARE 2008 LABOR AND EQUIPMENT AND MATERIALS</t>
  </si>
  <si>
    <t>CROSS COUNTRY TRAVEL DISTURBANCE WORKSHEET; 2008</t>
  </si>
  <si>
    <t>TRENCH REGRADE VOLUME WORKSHEET; 2008</t>
  </si>
  <si>
    <t>SUMP WORKSHEET 2008</t>
  </si>
  <si>
    <t>DRILL SITES WORKSHEET; 2008</t>
  </si>
  <si>
    <t>Drill Site type</t>
  </si>
  <si>
    <t>ROADS WORKSHEET; 2008</t>
  </si>
  <si>
    <t xml:space="preserve">red font are calculated values with formulas </t>
  </si>
  <si>
    <t>that can not be changed</t>
  </si>
  <si>
    <t>100 miles Mob Demob</t>
  </si>
  <si>
    <r>
      <t xml:space="preserve">       If there are any</t>
    </r>
    <r>
      <rPr>
        <b/>
        <sz val="10"/>
        <rFont val="Arial"/>
        <family val="2"/>
      </rPr>
      <t xml:space="preserve"> Trenches or Cross Country disturbance;</t>
    </r>
    <r>
      <rPr>
        <sz val="10"/>
        <rFont val="Arial"/>
        <family val="2"/>
      </rPr>
      <t xml:space="preserve"> a D6 dozer will be mobilized also.</t>
    </r>
  </si>
  <si>
    <r>
      <t xml:space="preserve">11.  </t>
    </r>
    <r>
      <rPr>
        <b/>
        <sz val="10"/>
        <rFont val="Arial"/>
        <family val="2"/>
      </rPr>
      <t>Revegetation</t>
    </r>
    <r>
      <rPr>
        <sz val="10"/>
        <rFont val="Arial"/>
        <family val="2"/>
      </rPr>
      <t xml:space="preserve"> costs are based on a per acre basis for slope acres.</t>
    </r>
  </si>
  <si>
    <t xml:space="preserve">      Travel times are assumed to be 2.73 hours one way to the project.</t>
  </si>
  <si>
    <r>
      <t xml:space="preserve">3.  All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in this worksheet are assumed to be 30 feet wide.  For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on slopes &lt;30% they are 70 feet long.  For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on slopes &gt;30% they are 83 feet long</t>
    </r>
  </si>
  <si>
    <r>
      <t xml:space="preserve">       If a drill hole is drilled deeper than the static water level it is considered a wet hole and must be abandoned as an </t>
    </r>
    <r>
      <rPr>
        <b/>
        <sz val="10"/>
        <rFont val="Arial"/>
        <family val="2"/>
      </rPr>
      <t>Open Hole - Wet</t>
    </r>
    <r>
      <rPr>
        <sz val="10"/>
        <rFont val="Arial"/>
        <family val="2"/>
      </rPr>
      <t>.</t>
    </r>
  </si>
  <si>
    <r>
      <t xml:space="preserve">       On </t>
    </r>
    <r>
      <rPr>
        <b/>
        <sz val="10"/>
        <rFont val="Arial"/>
        <family val="2"/>
      </rPr>
      <t>Drill Sites &gt;30%</t>
    </r>
    <r>
      <rPr>
        <sz val="10"/>
        <rFont val="Arial"/>
        <family val="2"/>
      </rPr>
      <t xml:space="preserve"> slopes sumps are assumed to lie within the 30 foot * 83 foot dimension of the </t>
    </r>
    <r>
      <rPr>
        <b/>
        <sz val="10"/>
        <rFont val="Arial"/>
        <family val="2"/>
      </rPr>
      <t>Drill Site.</t>
    </r>
  </si>
  <si>
    <r>
      <t xml:space="preserve">       On </t>
    </r>
    <r>
      <rPr>
        <b/>
        <sz val="10"/>
        <rFont val="Arial"/>
        <family val="2"/>
      </rPr>
      <t>Cross Country Drill Sites</t>
    </r>
    <r>
      <rPr>
        <sz val="10"/>
        <rFont val="Arial"/>
        <family val="2"/>
      </rPr>
      <t>,  the disturbed area is ripped by a Cat D7 size dozer.</t>
    </r>
  </si>
  <si>
    <r>
      <t xml:space="preserve">14.  </t>
    </r>
    <r>
      <rPr>
        <b/>
        <sz val="10"/>
        <rFont val="Arial"/>
        <family val="2"/>
      </rPr>
      <t>Trenches</t>
    </r>
    <r>
      <rPr>
        <sz val="10"/>
        <rFont val="Arial"/>
        <family val="2"/>
      </rPr>
      <t xml:space="preserve"> are assumed to be 14 feet wide by 5 feet deep with 10 feet extra width for the spoils pile.  A D6 is used for recontour at 208 CY/ hour productivity.</t>
    </r>
  </si>
  <si>
    <t>Costs for this Notice Level Reclamation Cost Estimator are based on values and assumptions used in the Standardized Reclamation Cost Estimator (SRCE) Version 1.4.1.</t>
  </si>
  <si>
    <r>
      <t xml:space="preserve">10. </t>
    </r>
    <r>
      <rPr>
        <b/>
        <sz val="10"/>
        <rFont val="Arial"/>
        <family val="2"/>
      </rPr>
      <t>Revegetation</t>
    </r>
    <r>
      <rPr>
        <sz val="10"/>
        <rFont val="Arial"/>
        <family val="2"/>
      </rPr>
      <t xml:space="preserve"> cost is based on the cost of use of a quad/ATV which spreads and drags the seed in on one pass.</t>
    </r>
  </si>
  <si>
    <r>
      <t xml:space="preserve">     All slopes over 30% (</t>
    </r>
    <r>
      <rPr>
        <b/>
        <sz val="10"/>
        <rFont val="Arial"/>
        <family val="2"/>
      </rPr>
      <t>&gt;30%</t>
    </r>
    <r>
      <rPr>
        <sz val="10"/>
        <rFont val="Arial"/>
        <family val="2"/>
      </rPr>
      <t>) are assumed to have a slope of 40% and include an additional 50% of volume for double-handling.</t>
    </r>
  </si>
  <si>
    <t>Notes:</t>
  </si>
  <si>
    <t>Enter Project Name</t>
  </si>
  <si>
    <t>Add notes associated with input values, if needed.</t>
  </si>
  <si>
    <r>
      <t xml:space="preserve">7.  </t>
    </r>
    <r>
      <rPr>
        <b/>
        <sz val="10"/>
        <rFont val="Arial"/>
        <family val="2"/>
      </rPr>
      <t>Recontouring</t>
    </r>
    <r>
      <rPr>
        <sz val="10"/>
        <rFont val="Arial"/>
        <family val="2"/>
      </rPr>
      <t xml:space="preserve"> for reclamation of </t>
    </r>
    <r>
      <rPr>
        <b/>
        <sz val="10"/>
        <rFont val="Arial"/>
        <family val="2"/>
      </rPr>
      <t>Roads,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Drill Sites, and Sumps</t>
    </r>
    <r>
      <rPr>
        <sz val="10"/>
        <rFont val="Arial"/>
        <family val="2"/>
      </rPr>
      <t xml:space="preserve"> is done with a track excavator of a Cat 320C size with a 1.57 CY bucket and productivity of 167 CY per hour.</t>
    </r>
  </si>
  <si>
    <t xml:space="preserve">     Area pay= $0.00 per hour, FICA = 7.65%, Unemployment = 3% and Workmen's Comp= 12.0%</t>
  </si>
  <si>
    <t>SRCE 2023 Cost Data Version 3.2</t>
  </si>
  <si>
    <t xml:space="preserve">Cost Data are from August 1, 2023.  This worksheet is simpler than the SRCE and does not allow the flexibility of entering project specific information in some situations. </t>
  </si>
  <si>
    <r>
      <t xml:space="preserve">9.  Laborer cost is based on Davis-Bacon wage rates for </t>
    </r>
    <r>
      <rPr>
        <sz val="10"/>
        <color indexed="10"/>
        <rFont val="Arial"/>
        <family val="2"/>
      </rPr>
      <t>Northern Nevada</t>
    </r>
    <r>
      <rPr>
        <sz val="10"/>
        <color indexed="8"/>
        <rFont val="Arial"/>
        <family val="2"/>
      </rPr>
      <t xml:space="preserve"> with FICA = 7.65%, Unemployment = 3% and Workmen's Comp= 13.5%</t>
    </r>
  </si>
  <si>
    <t xml:space="preserve">17.  Mobilization and Demobilization are based on 150 miles one way to project and are based on the 2023 Mob/DeMob worksheet.  </t>
  </si>
  <si>
    <t>Nevada BLM, August 1, 2023</t>
  </si>
  <si>
    <t>Column1</t>
  </si>
  <si>
    <t>Column2</t>
  </si>
  <si>
    <t>Column3</t>
  </si>
  <si>
    <t>Column4</t>
  </si>
  <si>
    <t>Column5</t>
  </si>
  <si>
    <t>Column6</t>
  </si>
  <si>
    <t>Item</t>
  </si>
  <si>
    <t>Linear Features</t>
  </si>
  <si>
    <t>Revegetation</t>
  </si>
  <si>
    <t>Reseeding</t>
  </si>
  <si>
    <t>Hole Plugging Mobilization</t>
  </si>
  <si>
    <t>Blank</t>
  </si>
  <si>
    <t>Hole Plugging Mob/Demob</t>
  </si>
  <si>
    <t>Mobilization</t>
  </si>
  <si>
    <t>Cost Item</t>
  </si>
  <si>
    <t>Administration Costs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</si>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</sst>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5" formatCode="&quot;$&quot;#,##0_);\(&quot;$&quot;#,##0\)"/>
    <numFmt numFmtId="7" formatCode="&quot;$&quot;#,##0.00_);\(&quot;$&quot;#,##0.00\)"/>
    <numFmt numFmtId="164" formatCode="&quot;$&quot;#,##0"/>
    <numFmt numFmtId="165" formatCode="0.0000"/>
    <numFmt numFmtId="166" formatCode="0.0"/>
    <numFmt numFmtId="167" formatCode="&quot;$&quot;#,##0.00"/>
    <numFmt numFmtId="168" formatCode="[$-409]mmmm\ d\,\ yyyy;@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17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theme="0"/>
      <name val="Arial"/>
      <family val="2"/>
    </font>
    <font>
      <u/>
      <sz val="10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2"/>
        <bgColor indexed="64"/>
      </patternFill>
    </fill>
    <fill>
      <patternFill patternType="lightGrid">
        <fgColor theme="0" tint="-0.14996795556505021"/>
        <bgColor indexed="43"/>
      </patternFill>
    </fill>
    <fill>
      <patternFill patternType="gray0625">
        <fgColor theme="0" tint="-0.24994659260841701"/>
        <bgColor indexed="42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>
      <alignment vertical="top"/>
    </xf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8" fillId="0" borderId="0" applyFont="0" applyFill="0" applyBorder="0" applyAlignment="0" applyProtection="0"/>
  </cellStyleXfs>
  <cellXfs count="318"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9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1" fontId="15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0" xfId="0" applyNumberFormat="1" applyFont="1" applyAlignment="1">
      <alignment horizontal="center" wrapText="1"/>
    </xf>
    <xf numFmtId="9" fontId="6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166" fontId="6" fillId="0" borderId="0" xfId="0" applyNumberFormat="1" applyFont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65" fontId="6" fillId="0" borderId="3" xfId="0" applyNumberFormat="1" applyFont="1" applyBorder="1" applyAlignment="1">
      <alignment horizontal="center" wrapText="1"/>
    </xf>
    <xf numFmtId="2" fontId="6" fillId="0" borderId="3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15" fillId="0" borderId="0" xfId="0" applyNumberFormat="1" applyFont="1" applyAlignment="1">
      <alignment horizontal="center"/>
    </xf>
    <xf numFmtId="2" fontId="15" fillId="0" borderId="0" xfId="0" applyNumberFormat="1" applyFont="1">
      <alignment vertical="top"/>
    </xf>
    <xf numFmtId="4" fontId="15" fillId="0" borderId="0" xfId="0" applyNumberFormat="1" applyFont="1">
      <alignment vertical="top"/>
    </xf>
    <xf numFmtId="165" fontId="15" fillId="0" borderId="5" xfId="0" applyNumberFormat="1" applyFont="1" applyBorder="1">
      <alignment vertical="top"/>
    </xf>
    <xf numFmtId="165" fontId="15" fillId="0" borderId="0" xfId="0" applyNumberFormat="1" applyFont="1">
      <alignment vertical="top"/>
    </xf>
    <xf numFmtId="2" fontId="15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>
      <alignment vertical="top"/>
    </xf>
    <xf numFmtId="165" fontId="0" fillId="0" borderId="0" xfId="0" applyNumberFormat="1">
      <alignment vertical="top"/>
    </xf>
    <xf numFmtId="2" fontId="0" fillId="0" borderId="0" xfId="0" applyNumberFormat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3" fontId="15" fillId="0" borderId="0" xfId="0" applyNumberFormat="1" applyFont="1" applyAlignment="1">
      <alignment horizontal="center"/>
    </xf>
    <xf numFmtId="3" fontId="15" fillId="0" borderId="0" xfId="0" applyNumberFormat="1" applyFont="1">
      <alignment vertical="top"/>
    </xf>
    <xf numFmtId="49" fontId="15" fillId="0" borderId="0" xfId="0" applyNumberFormat="1" applyFont="1" applyAlignment="1">
      <alignment horizontal="center" wrapText="1"/>
    </xf>
    <xf numFmtId="9" fontId="15" fillId="0" borderId="0" xfId="0" applyNumberFormat="1" applyFont="1" applyAlignment="1">
      <alignment horizontal="center" wrapText="1"/>
    </xf>
    <xf numFmtId="2" fontId="15" fillId="0" borderId="0" xfId="0" applyNumberFormat="1" applyFont="1" applyAlignment="1">
      <alignment horizontal="center" wrapText="1"/>
    </xf>
    <xf numFmtId="3" fontId="15" fillId="0" borderId="1" xfId="0" applyNumberFormat="1" applyFont="1" applyBorder="1" applyAlignment="1">
      <alignment horizontal="center"/>
    </xf>
    <xf numFmtId="0" fontId="0" fillId="0" borderId="1" xfId="0" applyBorder="1">
      <alignment vertical="top"/>
    </xf>
    <xf numFmtId="3" fontId="1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4" fontId="1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7" xfId="0" applyBorder="1" applyAlignment="1"/>
    <xf numFmtId="3" fontId="12" fillId="0" borderId="0" xfId="0" applyNumberFormat="1" applyFont="1" applyAlignment="1"/>
    <xf numFmtId="0" fontId="21" fillId="0" borderId="0" xfId="0" applyFont="1" applyAlignment="1"/>
    <xf numFmtId="165" fontId="15" fillId="0" borderId="0" xfId="0" applyNumberFormat="1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3" fontId="0" fillId="0" borderId="0" xfId="0" applyNumberFormat="1" applyAlignment="1"/>
    <xf numFmtId="3" fontId="6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7" fontId="0" fillId="0" borderId="0" xfId="3" applyFont="1" applyProtection="1"/>
    <xf numFmtId="7" fontId="11" fillId="0" borderId="0" xfId="3" applyFont="1" applyProtection="1"/>
    <xf numFmtId="1" fontId="0" fillId="0" borderId="0" xfId="3" applyNumberFormat="1" applyFont="1" applyProtection="1"/>
    <xf numFmtId="7" fontId="11" fillId="0" borderId="0" xfId="0" applyNumberFormat="1" applyFont="1" applyAlignment="1"/>
    <xf numFmtId="1" fontId="0" fillId="0" borderId="0" xfId="0" applyNumberFormat="1" applyAlignment="1"/>
    <xf numFmtId="2" fontId="0" fillId="0" borderId="0" xfId="0" applyNumberFormat="1" applyAlignment="1"/>
    <xf numFmtId="7" fontId="22" fillId="0" borderId="0" xfId="3" applyFont="1" applyProtection="1"/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center" wrapText="1"/>
    </xf>
    <xf numFmtId="166" fontId="0" fillId="0" borderId="0" xfId="0" applyNumberFormat="1" applyAlignment="1"/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 wrapText="1"/>
    </xf>
    <xf numFmtId="1" fontId="23" fillId="0" borderId="0" xfId="0" applyNumberFormat="1" applyFont="1" applyAlignment="1">
      <alignment horizontal="center"/>
    </xf>
    <xf numFmtId="165" fontId="6" fillId="0" borderId="8" xfId="0" applyNumberFormat="1" applyFont="1" applyBorder="1" applyAlignment="1">
      <alignment horizontal="center" wrapText="1"/>
    </xf>
    <xf numFmtId="165" fontId="6" fillId="0" borderId="9" xfId="0" applyNumberFormat="1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15" fillId="0" borderId="0" xfId="0" applyNumberFormat="1" applyFont="1" applyAlignment="1">
      <alignment horizontal="center"/>
    </xf>
    <xf numFmtId="2" fontId="14" fillId="0" borderId="0" xfId="0" applyNumberFormat="1" applyFont="1">
      <alignment vertical="top"/>
    </xf>
    <xf numFmtId="0" fontId="11" fillId="0" borderId="7" xfId="0" applyFont="1" applyBorder="1" applyAlignment="1"/>
    <xf numFmtId="3" fontId="11" fillId="0" borderId="11" xfId="0" applyNumberFormat="1" applyFont="1" applyBorder="1" applyAlignment="1"/>
    <xf numFmtId="3" fontId="0" fillId="0" borderId="12" xfId="0" applyNumberFormat="1" applyBorder="1" applyAlignment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>
      <alignment vertical="top"/>
    </xf>
    <xf numFmtId="165" fontId="0" fillId="0" borderId="1" xfId="0" applyNumberFormat="1" applyBorder="1">
      <alignment vertical="top"/>
    </xf>
    <xf numFmtId="4" fontId="0" fillId="0" borderId="1" xfId="0" applyNumberFormat="1" applyBorder="1">
      <alignment vertical="top"/>
    </xf>
    <xf numFmtId="165" fontId="0" fillId="0" borderId="5" xfId="0" applyNumberFormat="1" applyBorder="1">
      <alignment vertical="top"/>
    </xf>
    <xf numFmtId="2" fontId="0" fillId="0" borderId="0" xfId="0" applyNumberFormat="1">
      <alignment vertical="top"/>
    </xf>
    <xf numFmtId="3" fontId="0" fillId="0" borderId="11" xfId="0" applyNumberFormat="1" applyBorder="1" applyAlignment="1"/>
    <xf numFmtId="165" fontId="0" fillId="0" borderId="13" xfId="0" applyNumberFormat="1" applyBorder="1">
      <alignment vertical="top"/>
    </xf>
    <xf numFmtId="2" fontId="0" fillId="0" borderId="14" xfId="0" applyNumberFormat="1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0" fillId="0" borderId="15" xfId="0" applyBorder="1" applyAlignment="1"/>
    <xf numFmtId="3" fontId="0" fillId="0" borderId="16" xfId="0" applyNumberFormat="1" applyBorder="1" applyAlignment="1"/>
    <xf numFmtId="3" fontId="0" fillId="0" borderId="17" xfId="0" applyNumberFormat="1" applyBorder="1" applyAlignment="1"/>
    <xf numFmtId="0" fontId="11" fillId="2" borderId="18" xfId="0" applyFont="1" applyFill="1" applyBorder="1" applyAlignment="1"/>
    <xf numFmtId="3" fontId="11" fillId="0" borderId="19" xfId="0" applyNumberFormat="1" applyFont="1" applyBorder="1" applyAlignment="1"/>
    <xf numFmtId="3" fontId="0" fillId="0" borderId="20" xfId="0" applyNumberFormat="1" applyBorder="1" applyAlignment="1"/>
    <xf numFmtId="0" fontId="9" fillId="0" borderId="0" xfId="0" applyFont="1" applyAlignment="1"/>
    <xf numFmtId="0" fontId="10" fillId="0" borderId="0" xfId="0" applyFont="1" applyAlignment="1"/>
    <xf numFmtId="49" fontId="23" fillId="0" borderId="0" xfId="0" applyNumberFormat="1" applyFont="1" applyAlignment="1" applyProtection="1">
      <alignment horizontal="center" wrapText="1"/>
      <protection locked="0"/>
    </xf>
    <xf numFmtId="1" fontId="23" fillId="0" borderId="0" xfId="0" applyNumberFormat="1" applyFont="1" applyAlignment="1" applyProtection="1">
      <alignment horizontal="center"/>
      <protection locked="0"/>
    </xf>
    <xf numFmtId="2" fontId="23" fillId="0" borderId="0" xfId="0" applyNumberFormat="1" applyFont="1" applyAlignment="1">
      <alignment horizontal="center"/>
    </xf>
    <xf numFmtId="9" fontId="15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 applyProtection="1">
      <alignment horizontal="center" wrapText="1"/>
      <protection locked="0"/>
    </xf>
    <xf numFmtId="1" fontId="23" fillId="0" borderId="1" xfId="0" applyNumberFormat="1" applyFont="1" applyBorder="1" applyAlignment="1" applyProtection="1">
      <alignment horizontal="center"/>
      <protection locked="0"/>
    </xf>
    <xf numFmtId="165" fontId="15" fillId="0" borderId="1" xfId="0" applyNumberFormat="1" applyFont="1" applyBorder="1" applyAlignment="1" applyProtection="1">
      <alignment horizontal="center"/>
      <protection locked="0"/>
    </xf>
    <xf numFmtId="2" fontId="23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>
      <alignment vertical="top"/>
    </xf>
    <xf numFmtId="4" fontId="15" fillId="0" borderId="1" xfId="0" applyNumberFormat="1" applyFont="1" applyBorder="1">
      <alignment vertical="top"/>
    </xf>
    <xf numFmtId="165" fontId="15" fillId="0" borderId="13" xfId="0" applyNumberFormat="1" applyFont="1" applyBorder="1">
      <alignment vertical="top"/>
    </xf>
    <xf numFmtId="165" fontId="15" fillId="0" borderId="1" xfId="0" applyNumberFormat="1" applyFont="1" applyBorder="1">
      <alignment vertical="top"/>
    </xf>
    <xf numFmtId="2" fontId="15" fillId="0" borderId="14" xfId="0" applyNumberFormat="1" applyFont="1" applyBorder="1" applyAlignment="1">
      <alignment horizontal="center"/>
    </xf>
    <xf numFmtId="0" fontId="11" fillId="2" borderId="0" xfId="0" applyFont="1" applyFill="1" applyAlignment="1"/>
    <xf numFmtId="2" fontId="11" fillId="0" borderId="0" xfId="0" applyNumberFormat="1" applyFont="1" applyAlignment="1"/>
    <xf numFmtId="1" fontId="11" fillId="0" borderId="0" xfId="0" applyNumberFormat="1" applyFont="1">
      <alignment vertical="top"/>
    </xf>
    <xf numFmtId="0" fontId="22" fillId="0" borderId="0" xfId="0" applyFont="1" applyAlignment="1"/>
    <xf numFmtId="9" fontId="0" fillId="0" borderId="0" xfId="0" applyNumberForma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9" fontId="11" fillId="0" borderId="0" xfId="0" applyNumberFormat="1" applyFont="1" applyAlignment="1"/>
    <xf numFmtId="1" fontId="14" fillId="0" borderId="0" xfId="0" applyNumberFormat="1" applyFont="1" applyAlignment="1" applyProtection="1">
      <alignment horizontal="center"/>
      <protection locked="0"/>
    </xf>
    <xf numFmtId="1" fontId="14" fillId="0" borderId="1" xfId="0" applyNumberFormat="1" applyFont="1" applyBorder="1" applyAlignment="1" applyProtection="1">
      <alignment horizontal="center"/>
      <protection locked="0"/>
    </xf>
    <xf numFmtId="3" fontId="11" fillId="0" borderId="0" xfId="0" applyNumberFormat="1" applyFont="1" applyAlignment="1"/>
    <xf numFmtId="2" fontId="14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protection locked="0"/>
    </xf>
    <xf numFmtId="0" fontId="0" fillId="0" borderId="0" xfId="0" applyAlignment="1" applyProtection="1">
      <alignment horizontal="center"/>
      <protection hidden="1"/>
    </xf>
    <xf numFmtId="3" fontId="9" fillId="0" borderId="1" xfId="0" applyNumberFormat="1" applyFont="1" applyBorder="1" applyAlignment="1" applyProtection="1">
      <protection locked="0"/>
    </xf>
    <xf numFmtId="3" fontId="15" fillId="0" borderId="23" xfId="0" applyNumberFormat="1" applyFont="1" applyBorder="1" applyAlignment="1">
      <alignment horizontal="center"/>
    </xf>
    <xf numFmtId="4" fontId="15" fillId="0" borderId="23" xfId="0" applyNumberFormat="1" applyFont="1" applyBorder="1">
      <alignment vertical="top"/>
    </xf>
    <xf numFmtId="2" fontId="0" fillId="0" borderId="22" xfId="0" applyNumberFormat="1" applyBorder="1">
      <alignment vertical="top"/>
    </xf>
    <xf numFmtId="1" fontId="11" fillId="0" borderId="0" xfId="0" applyNumberFormat="1" applyFont="1" applyAlignment="1"/>
    <xf numFmtId="0" fontId="11" fillId="0" borderId="0" xfId="0" applyFont="1" applyAlignment="1">
      <alignment horizontal="right"/>
    </xf>
    <xf numFmtId="2" fontId="0" fillId="2" borderId="0" xfId="0" applyNumberFormat="1" applyFill="1" applyAlignment="1">
      <alignment horizontal="right"/>
    </xf>
    <xf numFmtId="4" fontId="0" fillId="2" borderId="0" xfId="0" applyNumberFormat="1" applyFill="1" applyAlignment="1"/>
    <xf numFmtId="3" fontId="0" fillId="2" borderId="0" xfId="0" applyNumberFormat="1" applyFill="1" applyAlignment="1"/>
    <xf numFmtId="3" fontId="16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5" fontId="0" fillId="0" borderId="0" xfId="4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protection hidden="1"/>
    </xf>
    <xf numFmtId="7" fontId="0" fillId="0" borderId="0" xfId="0" applyNumberFormat="1" applyAlignment="1" applyProtection="1"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1" fontId="11" fillId="0" borderId="0" xfId="0" applyNumberFormat="1" applyFont="1" applyAlignment="1" applyProtection="1">
      <alignment horizontal="center" vertical="center"/>
      <protection hidden="1"/>
    </xf>
    <xf numFmtId="167" fontId="8" fillId="0" borderId="0" xfId="0" applyNumberFormat="1" applyFont="1" applyAlignment="1" applyProtection="1">
      <alignment horizontal="center" vertical="center"/>
      <protection hidden="1"/>
    </xf>
    <xf numFmtId="1" fontId="19" fillId="0" borderId="0" xfId="0" applyNumberFormat="1" applyFont="1" applyAlignment="1" applyProtection="1">
      <alignment horizontal="center" vertical="center"/>
      <protection hidden="1"/>
    </xf>
    <xf numFmtId="7" fontId="0" fillId="0" borderId="0" xfId="0" applyNumberForma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1" fontId="9" fillId="0" borderId="0" xfId="0" applyNumberFormat="1" applyFont="1" applyAlignment="1" applyProtection="1">
      <alignment horizontal="center" vertical="center"/>
      <protection hidden="1"/>
    </xf>
    <xf numFmtId="37" fontId="0" fillId="0" borderId="0" xfId="0" applyNumberFormat="1" applyAlignment="1" applyProtection="1"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22" fillId="0" borderId="25" xfId="0" applyNumberFormat="1" applyFont="1" applyBorder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22" fillId="0" borderId="25" xfId="0" applyFont="1" applyBorder="1" applyAlignment="1" applyProtection="1"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3" fontId="22" fillId="0" borderId="22" xfId="0" applyNumberFormat="1" applyFont="1" applyBorder="1" applyAlignment="1" applyProtection="1">
      <alignment horizontal="center" vertical="center"/>
      <protection hidden="1"/>
    </xf>
    <xf numFmtId="164" fontId="4" fillId="0" borderId="0" xfId="4" applyNumberFormat="1" applyFont="1" applyAlignment="1" applyProtection="1">
      <alignment horizontal="center" vertical="center"/>
      <protection hidden="1"/>
    </xf>
    <xf numFmtId="164" fontId="11" fillId="0" borderId="0" xfId="4" applyNumberFormat="1" applyFont="1" applyAlignment="1" applyProtection="1">
      <alignment horizontal="center" vertical="center"/>
      <protection hidden="1"/>
    </xf>
    <xf numFmtId="5" fontId="3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1" fillId="0" borderId="0" xfId="0" applyNumberFormat="1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4" fontId="8" fillId="0" borderId="0" xfId="0" applyNumberFormat="1" applyFont="1" applyAlignment="1" applyProtection="1">
      <alignment horizontal="center" vertical="center"/>
      <protection hidden="1"/>
    </xf>
    <xf numFmtId="4" fontId="8" fillId="0" borderId="0" xfId="0" applyNumberFormat="1" applyFont="1" applyAlignment="1" applyProtection="1">
      <alignment horizontal="center"/>
      <protection hidden="1"/>
    </xf>
    <xf numFmtId="39" fontId="8" fillId="0" borderId="0" xfId="0" applyNumberFormat="1" applyFont="1" applyAlignment="1" applyProtection="1">
      <alignment horizontal="center" vertical="center"/>
      <protection hidden="1"/>
    </xf>
    <xf numFmtId="4" fontId="8" fillId="0" borderId="1" xfId="0" applyNumberFormat="1" applyFont="1" applyBorder="1" applyAlignment="1" applyProtection="1">
      <alignment horizontal="center"/>
      <protection hidden="1"/>
    </xf>
    <xf numFmtId="164" fontId="8" fillId="0" borderId="0" xfId="1" applyNumberFormat="1" applyFont="1" applyAlignment="1" applyProtection="1">
      <alignment horizontal="center" vertical="center"/>
      <protection hidden="1"/>
    </xf>
    <xf numFmtId="3" fontId="8" fillId="0" borderId="0" xfId="1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protection hidden="1"/>
    </xf>
    <xf numFmtId="164" fontId="8" fillId="0" borderId="0" xfId="4" applyNumberFormat="1" applyFont="1" applyAlignment="1" applyProtection="1">
      <alignment horizontal="center" vertical="center"/>
      <protection hidden="1"/>
    </xf>
    <xf numFmtId="5" fontId="8" fillId="0" borderId="0" xfId="0" applyNumberFormat="1" applyFont="1" applyAlignment="1" applyProtection="1">
      <alignment horizont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8" fontId="0" fillId="0" borderId="0" xfId="0" applyNumberFormat="1" applyAlignment="1">
      <alignment horizontal="center"/>
    </xf>
    <xf numFmtId="2" fontId="8" fillId="0" borderId="0" xfId="0" applyNumberFormat="1" applyFont="1" applyAlignment="1" applyProtection="1">
      <alignment horizontal="center" vertical="center"/>
      <protection hidden="1"/>
    </xf>
    <xf numFmtId="1" fontId="8" fillId="0" borderId="0" xfId="0" applyNumberFormat="1" applyFont="1" applyAlignment="1" applyProtection="1">
      <alignment horizontal="center" vertical="center"/>
      <protection hidden="1"/>
    </xf>
    <xf numFmtId="5" fontId="0" fillId="0" borderId="0" xfId="3" applyNumberFormat="1" applyFont="1" applyAlignment="1" applyProtection="1">
      <alignment horizontal="right"/>
      <protection hidden="1"/>
    </xf>
    <xf numFmtId="5" fontId="0" fillId="0" borderId="0" xfId="3" applyNumberFormat="1" applyFont="1" applyProtection="1">
      <protection hidden="1"/>
    </xf>
    <xf numFmtId="5" fontId="0" fillId="0" borderId="0" xfId="3" applyNumberFormat="1" applyFont="1" applyAlignment="1" applyProtection="1">
      <alignment horizontal="center"/>
      <protection hidden="1"/>
    </xf>
    <xf numFmtId="164" fontId="0" fillId="0" borderId="0" xfId="1" applyNumberFormat="1" applyFont="1" applyAlignment="1" applyProtection="1">
      <alignment horizontal="center" vertical="center"/>
      <protection hidden="1"/>
    </xf>
    <xf numFmtId="9" fontId="25" fillId="0" borderId="0" xfId="9" applyNumberFormat="1" applyFont="1" applyAlignment="1">
      <alignment horizontal="right" wrapText="1"/>
    </xf>
    <xf numFmtId="0" fontId="26" fillId="0" borderId="0" xfId="0" applyFont="1" applyAlignment="1">
      <alignment horizontal="center" wrapText="1"/>
    </xf>
    <xf numFmtId="0" fontId="5" fillId="0" borderId="0" xfId="0" applyFont="1" applyAlignment="1" applyProtection="1">
      <alignment horizontal="left"/>
      <protection hidden="1"/>
    </xf>
    <xf numFmtId="1" fontId="26" fillId="0" borderId="0" xfId="0" applyNumberFormat="1" applyFont="1" applyAlignment="1" applyProtection="1">
      <alignment horizontal="center"/>
      <protection locked="0"/>
    </xf>
    <xf numFmtId="2" fontId="26" fillId="0" borderId="0" xfId="0" applyNumberFormat="1" applyFont="1" applyAlignment="1">
      <alignment horizontal="center"/>
    </xf>
    <xf numFmtId="2" fontId="27" fillId="0" borderId="23" xfId="0" applyNumberFormat="1" applyFont="1" applyBorder="1">
      <alignment vertical="top"/>
    </xf>
    <xf numFmtId="0" fontId="3" fillId="0" borderId="0" xfId="0" applyFont="1" applyAlignment="1" applyProtection="1">
      <alignment horizontal="right" vertical="center"/>
      <protection hidden="1"/>
    </xf>
    <xf numFmtId="39" fontId="11" fillId="0" borderId="0" xfId="0" applyNumberFormat="1" applyFont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39" fontId="28" fillId="0" borderId="26" xfId="0" applyNumberFormat="1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/>
      <protection locked="0"/>
    </xf>
    <xf numFmtId="1" fontId="29" fillId="0" borderId="0" xfId="0" applyNumberFormat="1" applyFont="1" applyAlignment="1" applyProtection="1">
      <alignment horizontal="center"/>
      <protection locked="0"/>
    </xf>
    <xf numFmtId="2" fontId="26" fillId="0" borderId="0" xfId="0" applyNumberFormat="1" applyFont="1" applyAlignment="1" applyProtection="1">
      <alignment horizontal="center"/>
      <protection locked="0"/>
    </xf>
    <xf numFmtId="1" fontId="26" fillId="0" borderId="0" xfId="0" applyNumberFormat="1" applyFont="1" applyAlignment="1">
      <alignment horizontal="center"/>
    </xf>
    <xf numFmtId="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2" fontId="26" fillId="0" borderId="0" xfId="0" applyNumberFormat="1" applyFont="1">
      <alignment vertical="top"/>
    </xf>
    <xf numFmtId="0" fontId="15" fillId="0" borderId="0" xfId="0" applyFont="1" applyAlignment="1"/>
    <xf numFmtId="0" fontId="25" fillId="0" borderId="0" xfId="0" applyFont="1" applyAlignment="1"/>
    <xf numFmtId="0" fontId="5" fillId="0" borderId="0" xfId="0" applyFont="1" applyAlignment="1">
      <alignment horizontal="center"/>
    </xf>
    <xf numFmtId="3" fontId="31" fillId="0" borderId="0" xfId="0" applyNumberFormat="1" applyFont="1" applyAlignment="1" applyProtection="1">
      <protection locked="0"/>
    </xf>
    <xf numFmtId="0" fontId="26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4" fontId="11" fillId="0" borderId="0" xfId="0" applyNumberFormat="1" applyFont="1" applyAlignment="1"/>
    <xf numFmtId="3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/>
    <xf numFmtId="4" fontId="12" fillId="0" borderId="0" xfId="0" applyNumberFormat="1" applyFont="1" applyAlignment="1"/>
    <xf numFmtId="3" fontId="11" fillId="0" borderId="1" xfId="0" applyNumberFormat="1" applyFont="1" applyBorder="1" applyAlignment="1"/>
    <xf numFmtId="0" fontId="9" fillId="3" borderId="0" xfId="0" applyFont="1" applyFill="1" applyAlignment="1" applyProtection="1">
      <alignment horizontal="center"/>
      <protection locked="0"/>
    </xf>
    <xf numFmtId="2" fontId="30" fillId="3" borderId="0" xfId="0" applyNumberFormat="1" applyFont="1" applyFill="1" applyAlignment="1" applyProtection="1">
      <alignment horizontal="center"/>
      <protection locked="0"/>
    </xf>
    <xf numFmtId="0" fontId="30" fillId="3" borderId="0" xfId="0" applyFont="1" applyFill="1" applyAlignment="1" applyProtection="1">
      <protection locked="0"/>
    </xf>
    <xf numFmtId="3" fontId="9" fillId="3" borderId="0" xfId="0" applyNumberFormat="1" applyFont="1" applyFill="1" applyAlignment="1" applyProtection="1">
      <protection locked="0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7" fontId="8" fillId="4" borderId="0" xfId="0" applyNumberFormat="1" applyFont="1" applyFill="1" applyAlignment="1" applyProtection="1">
      <alignment horizontal="center" vertical="center"/>
      <protection hidden="1"/>
    </xf>
    <xf numFmtId="7" fontId="0" fillId="4" borderId="0" xfId="0" applyNumberFormat="1" applyFill="1" applyAlignment="1" applyProtection="1">
      <alignment horizontal="center" vertical="center"/>
      <protection hidden="1"/>
    </xf>
    <xf numFmtId="7" fontId="5" fillId="4" borderId="0" xfId="0" applyNumberFormat="1" applyFont="1" applyFill="1" applyAlignment="1" applyProtection="1">
      <alignment horizontal="center" vertical="center"/>
      <protection hidden="1"/>
    </xf>
    <xf numFmtId="5" fontId="0" fillId="4" borderId="0" xfId="0" applyNumberFormat="1" applyFill="1" applyAlignment="1" applyProtection="1">
      <alignment horizontal="center" vertical="center"/>
      <protection hidden="1"/>
    </xf>
    <xf numFmtId="0" fontId="22" fillId="4" borderId="0" xfId="0" applyFont="1" applyFill="1" applyAlignment="1" applyProtection="1">
      <protection hidden="1"/>
    </xf>
    <xf numFmtId="5" fontId="3" fillId="0" borderId="0" xfId="4" applyFont="1" applyAlignment="1" applyProtection="1">
      <alignment horizontal="center" vertical="center"/>
      <protection hidden="1"/>
    </xf>
    <xf numFmtId="164" fontId="5" fillId="0" borderId="0" xfId="0" applyNumberFormat="1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1" fontId="32" fillId="0" borderId="0" xfId="0" applyNumberFormat="1" applyFont="1" applyAlignment="1" applyProtection="1">
      <alignment horizontal="center" vertical="center"/>
      <protection hidden="1"/>
    </xf>
    <xf numFmtId="3" fontId="32" fillId="0" borderId="0" xfId="1" applyFont="1" applyAlignment="1" applyProtection="1">
      <alignment horizontal="center" vertical="center"/>
      <protection hidden="1"/>
    </xf>
    <xf numFmtId="7" fontId="32" fillId="0" borderId="0" xfId="0" applyNumberFormat="1" applyFont="1" applyAlignment="1" applyProtection="1">
      <alignment horizontal="center" vertical="center"/>
      <protection hidden="1"/>
    </xf>
    <xf numFmtId="164" fontId="33" fillId="0" borderId="0" xfId="0" applyNumberFormat="1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/>
      <protection hidden="1"/>
    </xf>
    <xf numFmtId="164" fontId="33" fillId="0" borderId="0" xfId="1" applyNumberFormat="1" applyFont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164" fontId="34" fillId="0" borderId="0" xfId="1" applyNumberFormat="1" applyFont="1" applyAlignment="1" applyProtection="1">
      <alignment horizontal="center" vertical="center"/>
      <protection hidden="1"/>
    </xf>
    <xf numFmtId="164" fontId="34" fillId="0" borderId="0" xfId="1" applyNumberFormat="1" applyFont="1" applyBorder="1" applyAlignment="1" applyProtection="1">
      <alignment horizontal="center" vertical="center"/>
      <protection hidden="1"/>
    </xf>
    <xf numFmtId="3" fontId="34" fillId="0" borderId="0" xfId="1" applyFont="1" applyAlignment="1" applyProtection="1">
      <alignment horizontal="center" vertical="center"/>
      <protection hidden="1"/>
    </xf>
    <xf numFmtId="164" fontId="32" fillId="0" borderId="0" xfId="0" applyNumberFormat="1" applyFont="1" applyAlignment="1" applyProtection="1">
      <alignment horizontal="center" vertical="center"/>
      <protection hidden="1"/>
    </xf>
    <xf numFmtId="164" fontId="32" fillId="0" borderId="0" xfId="1" applyNumberFormat="1" applyFont="1" applyAlignment="1" applyProtection="1">
      <alignment horizontal="center" vertical="center"/>
      <protection hidden="1"/>
    </xf>
    <xf numFmtId="164" fontId="32" fillId="0" borderId="0" xfId="0" applyNumberFormat="1" applyFont="1" applyAlignment="1" applyProtection="1">
      <protection hidden="1"/>
    </xf>
    <xf numFmtId="4" fontId="8" fillId="0" borderId="2" xfId="0" applyNumberFormat="1" applyFont="1" applyBorder="1" applyAlignment="1" applyProtection="1">
      <alignment horizontal="center"/>
      <protection hidden="1"/>
    </xf>
    <xf numFmtId="4" fontId="8" fillId="0" borderId="5" xfId="0" applyNumberFormat="1" applyFont="1" applyBorder="1" applyAlignment="1" applyProtection="1">
      <alignment horizontal="center"/>
      <protection hidden="1"/>
    </xf>
    <xf numFmtId="4" fontId="8" fillId="0" borderId="13" xfId="0" applyNumberFormat="1" applyFont="1" applyBorder="1" applyAlignment="1" applyProtection="1">
      <alignment horizontal="center"/>
      <protection hidden="1"/>
    </xf>
    <xf numFmtId="39" fontId="21" fillId="0" borderId="24" xfId="0" applyNumberFormat="1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3" fontId="6" fillId="0" borderId="13" xfId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5" fontId="0" fillId="0" borderId="0" xfId="0" applyNumberFormat="1" applyAlignment="1" applyProtection="1">
      <alignment horizontal="right"/>
      <protection hidden="1"/>
    </xf>
    <xf numFmtId="0" fontId="5" fillId="0" borderId="0" xfId="0" applyFont="1" applyAlignment="1" applyProtection="1">
      <alignment horizontal="right" vertical="center"/>
      <protection hidden="1"/>
    </xf>
    <xf numFmtId="39" fontId="32" fillId="0" borderId="0" xfId="0" applyNumberFormat="1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protection hidden="1"/>
    </xf>
    <xf numFmtId="164" fontId="32" fillId="0" borderId="0" xfId="4" applyNumberFormat="1" applyFont="1" applyAlignment="1" applyProtection="1">
      <alignment horizontal="center" vertical="center"/>
      <protection hidden="1"/>
    </xf>
    <xf numFmtId="164" fontId="32" fillId="0" borderId="0" xfId="0" applyNumberFormat="1" applyFont="1" applyAlignment="1" applyProtection="1">
      <alignment horizontal="center"/>
      <protection hidden="1"/>
    </xf>
    <xf numFmtId="0" fontId="5" fillId="0" borderId="0" xfId="0" applyFont="1" applyAlignment="1" applyProtection="1"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22" fillId="0" borderId="0" xfId="0" applyFont="1" applyAlignment="1" applyProtection="1">
      <protection hidden="1"/>
    </xf>
    <xf numFmtId="3" fontId="9" fillId="5" borderId="10" xfId="0" applyNumberFormat="1" applyFont="1" applyFill="1" applyBorder="1" applyAlignment="1" applyProtection="1">
      <alignment horizontal="center" vertical="center"/>
      <protection locked="0"/>
    </xf>
    <xf numFmtId="3" fontId="9" fillId="5" borderId="20" xfId="0" applyNumberFormat="1" applyFont="1" applyFill="1" applyBorder="1" applyAlignment="1" applyProtection="1">
      <alignment horizontal="center" vertical="center"/>
      <protection locked="0"/>
    </xf>
    <xf numFmtId="1" fontId="14" fillId="5" borderId="10" xfId="0" applyNumberFormat="1" applyFont="1" applyFill="1" applyBorder="1" applyAlignment="1" applyProtection="1">
      <alignment horizontal="center" vertical="center"/>
      <protection locked="0"/>
    </xf>
    <xf numFmtId="1" fontId="14" fillId="5" borderId="12" xfId="0" applyNumberFormat="1" applyFont="1" applyFill="1" applyBorder="1" applyAlignment="1" applyProtection="1">
      <alignment horizontal="center" vertical="center"/>
      <protection locked="0"/>
    </xf>
    <xf numFmtId="1" fontId="14" fillId="5" borderId="20" xfId="0" applyNumberFormat="1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Alignment="1" applyProtection="1">
      <protection hidden="1"/>
    </xf>
    <xf numFmtId="1" fontId="9" fillId="5" borderId="8" xfId="0" applyNumberFormat="1" applyFont="1" applyFill="1" applyBorder="1" applyAlignment="1" applyProtection="1">
      <alignment vertical="center"/>
      <protection locked="0"/>
    </xf>
    <xf numFmtId="1" fontId="9" fillId="5" borderId="27" xfId="0" applyNumberFormat="1" applyFont="1" applyFill="1" applyBorder="1" applyAlignment="1" applyProtection="1">
      <alignment vertical="center"/>
      <protection locked="0"/>
    </xf>
    <xf numFmtId="1" fontId="9" fillId="5" borderId="9" xfId="0" applyNumberFormat="1" applyFont="1" applyFill="1" applyBorder="1" applyAlignment="1" applyProtection="1">
      <alignment vertical="center"/>
      <protection locked="0"/>
    </xf>
    <xf numFmtId="1" fontId="9" fillId="5" borderId="7" xfId="0" applyNumberFormat="1" applyFont="1" applyFill="1" applyBorder="1" applyAlignment="1" applyProtection="1">
      <alignment vertical="center"/>
      <protection locked="0"/>
    </xf>
    <xf numFmtId="1" fontId="9" fillId="5" borderId="0" xfId="0" applyNumberFormat="1" applyFont="1" applyFill="1" applyAlignment="1" applyProtection="1">
      <alignment vertical="center"/>
      <protection locked="0"/>
    </xf>
    <xf numFmtId="1" fontId="9" fillId="5" borderId="11" xfId="0" applyNumberFormat="1" applyFont="1" applyFill="1" applyBorder="1" applyAlignment="1" applyProtection="1">
      <alignment vertical="center"/>
      <protection locked="0"/>
    </xf>
    <xf numFmtId="1" fontId="9" fillId="5" borderId="18" xfId="0" applyNumberFormat="1" applyFont="1" applyFill="1" applyBorder="1" applyAlignment="1" applyProtection="1">
      <alignment vertical="center"/>
      <protection locked="0"/>
    </xf>
    <xf numFmtId="1" fontId="9" fillId="5" borderId="28" xfId="0" applyNumberFormat="1" applyFont="1" applyFill="1" applyBorder="1" applyAlignment="1" applyProtection="1">
      <alignment vertical="center"/>
      <protection locked="0"/>
    </xf>
    <xf numFmtId="1" fontId="9" fillId="5" borderId="19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49" fontId="19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5" borderId="0" xfId="0" applyFont="1" applyFill="1" applyAlignment="1" applyProtection="1">
      <alignment horizontal="center" vertical="center"/>
      <protection locked="0"/>
    </xf>
  </cellXfs>
  <cellStyles count="11">
    <cellStyle name="Comma" xfId="1" builtinId="3"/>
    <cellStyle name="Comma0" xfId="2" xr:uid="{00000000-0005-0000-0000-000001000000}"/>
    <cellStyle name="Currency" xfId="3" builtinId="4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builtinId="16" customBuiltin="1"/>
    <cellStyle name="Heading 2" xfId="8" builtinId="17" customBuiltin="1"/>
    <cellStyle name="Normal" xfId="0" builtinId="0"/>
    <cellStyle name="Percent" xfId="9" builtinId="5"/>
    <cellStyle name="Total" xfId="10" builtinId="25" customBuiltin="1"/>
  </cellStyles>
  <dxfs count="9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9" formatCode="&quot;$&quot;#,##0_);\(&quot;$&quot;#,##0\)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rial"/>
        <family val="2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1" hidden="1"/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numFmt numFmtId="9" formatCode="&quot;$&quot;#,##0_);\(&quot;$&quot;#,##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numFmt numFmtId="1" formatCode="0"/>
      <fill>
        <patternFill patternType="gray0625">
          <fgColor theme="0" tint="-0.24994659260841701"/>
          <bgColor indexed="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numFmt numFmtId="9" formatCode="&quot;$&quot;#,##0_);\(&quot;$&quot;#,##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numFmt numFmtId="2" formatCode="0.00"/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numFmt numFmtId="3" formatCode="#,##0"/>
      <fill>
        <patternFill patternType="gray0625">
          <fgColor theme="0" tint="-0.24994659260841701"/>
          <bgColor indexed="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$&quot;#,##0.00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numFmt numFmtId="1" formatCode="0"/>
      <fill>
        <patternFill patternType="gray0625">
          <fgColor theme="0" tint="-0.499984740745262"/>
          <bgColor indexed="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1" formatCode="&quot;$&quot;#,##0.00_);\(&quot;$&quot;#,##0.00\)"/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numFmt numFmtId="3" formatCode="#,##0"/>
      <fill>
        <patternFill patternType="gray0625">
          <fgColor theme="0" tint="-0.24994659260841701"/>
          <bgColor indexed="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ill>
        <patternFill patternType="lightGrid">
          <fgColor theme="0" tint="-0.14996795556505021"/>
          <bgColor indexed="43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</dxfs>
  <tableStyles count="1" defaultTableStyle="TableStyleMedium9" defaultPivotStyle="PivotStyleLight16">
    <tableStyle name="New_1" pivot="0" count="0" xr9:uid="{A6D6E3E1-FA01-4248-8792-39F8052F0B3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4F34F0-5E51-4B6D-91B2-1725C3AA7082}" name="Roads" displayName="Roads" ref="A5:I7" totalsRowShown="0" headerRowDxfId="94" dataDxfId="93">
  <tableColumns count="9">
    <tableColumn id="1" xr3:uid="{91792641-6EB3-4FD7-B661-CBEAB3CCD575}" name="On a Side Slope" dataDxfId="92"/>
    <tableColumn id="2" xr3:uid="{B4985FF4-E56F-44BB-9C0B-39AEF20562F7}" name="Feet" dataDxfId="91"/>
    <tableColumn id="3" xr3:uid="{B5F5937D-CBD9-4B1F-93D7-C8D451A09919}" name="Item"/>
    <tableColumn id="4" xr3:uid="{FCB6CD3D-8B1F-4965-B324-5558BF02E4F1}" name="Labor Cost" dataDxfId="90" dataCellStyle="Comma">
      <calculatedColumnFormula>B6*E6</calculatedColumnFormula>
    </tableColumn>
    <tableColumn id="5" xr3:uid="{E8608680-A9DD-40B5-8631-2C1A221684B2}" name="Manpower" dataDxfId="89"/>
    <tableColumn id="6" xr3:uid="{B71DE3D3-45D3-453D-AFBA-EDBBB2BFB0E4}" name="Equipment"/>
    <tableColumn id="7" xr3:uid="{312AEA8D-B2DC-495A-ABEF-DA85B5F5595C}" name="Materials" dataDxfId="88"/>
    <tableColumn id="8" xr3:uid="{F7682796-33BC-4438-B3D5-12CB336F8A5E}" name="Cost/Linear Foot" dataDxfId="87">
      <calculatedColumnFormula>SUM(E6,F6,G6)</calculatedColumnFormula>
    </tableColumn>
    <tableColumn id="9" xr3:uid="{463BD35E-0D94-4A1E-A6C7-A8C454B6561D}" name="Road Reclamation" dataDxfId="86">
      <calculatedColumnFormula>B6*H6</calculatedColumnFormula>
    </tableColumn>
  </tableColumns>
  <tableStyleInfo name="New_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FF0D0A5-525E-45F5-83DB-91B3075B43A5}" name="TotalLabor" displayName="TotalLabor" ref="I39:I40" totalsRowShown="0" headerRowDxfId="16" dataDxfId="15" headerRowCellStyle="Currency0" dataCellStyle="Currency0">
  <autoFilter ref="I39:I40" xr:uid="{1FF0D0A5-525E-45F5-83DB-91B3075B43A5}">
    <filterColumn colId="0" hiddenButton="1"/>
  </autoFilter>
  <tableColumns count="1">
    <tableColumn id="1" xr3:uid="{46B8F5D8-A319-4B11-9AA5-34EC20C5D890}" name="Total Labor" dataDxfId="14" dataCellStyle="Currency0">
      <calculatedColumnFormula>SUM(D6:D33)</calculatedColumnFormula>
    </tableColumn>
  </tableColumns>
  <tableStyleInfo name="New_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C452823-B7C9-49DE-98A6-FD72CF77C964}" name="Administration" displayName="Administration" ref="C42:I49" totalsRowShown="0" headerRowDxfId="13">
  <autoFilter ref="C42:I49" xr:uid="{DC452823-B7C9-49DE-98A6-FD72CF77C96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940BD875-AB25-472C-895C-E13210A46112}" name="Indirect Costs" dataDxfId="12"/>
    <tableColumn id="2" xr3:uid="{CF1E53D7-996D-4C58-9FC0-DE56898B369F}" name="Column1"/>
    <tableColumn id="3" xr3:uid="{546AD724-53DD-4806-A053-1F227CEAD870}" name="Column2" dataDxfId="11"/>
    <tableColumn id="4" xr3:uid="{6D3FB8D7-45CB-49D2-8171-CFB545252EBC}" name="Column3" dataDxfId="10"/>
    <tableColumn id="5" xr3:uid="{2B6AA7AA-E159-4719-A285-8895C06B582A}" name="Column4"/>
    <tableColumn id="6" xr3:uid="{2D0D1126-7FE6-4165-B12C-3B3A9DDBB0A6}" name="Cost Item" dataDxfId="9"/>
    <tableColumn id="7" xr3:uid="{A2FE1D14-C385-4787-8E5C-A557E9B42AF9}" name="Administration Costs" dataDxfId="8"/>
  </tableColumns>
  <tableStyleInfo name="New_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960DF80-7902-4FE8-808E-5D08725C7F77}" name="TotalAdmin" displayName="TotalAdmin" ref="I51:I52" totalsRowShown="0" headerRowDxfId="7" dataDxfId="6">
  <autoFilter ref="I51:I52" xr:uid="{5960DF80-7902-4FE8-808E-5D08725C7F77}">
    <filterColumn colId="0" hiddenButton="1"/>
  </autoFilter>
  <tableColumns count="1">
    <tableColumn id="1" xr3:uid="{4388EFA5-D121-4CE8-8D6A-A56452780449}" name="Total Administration Cost" dataDxfId="5">
      <calculatedColumnFormula>I45+I46+I47+I48+I49</calculatedColumnFormula>
    </tableColumn>
  </tableColumns>
  <tableStyleInfo name="New_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16E9166-7366-41EF-81F3-C38538D61229}" name="CostPerAcre" displayName="CostPerAcre" ref="D53:D54" totalsRowShown="0" headerRowDxfId="4" dataDxfId="3" dataCellStyle="Currency">
  <autoFilter ref="D53:D54" xr:uid="{416E9166-7366-41EF-81F3-C38538D61229}">
    <filterColumn colId="0" hiddenButton="1"/>
  </autoFilter>
  <tableColumns count="1">
    <tableColumn id="1" xr3:uid="{81F24D74-41A0-43BF-9620-8FC4280FE72C}" name="Cost per acre" dataDxfId="2" dataCellStyle="Currency">
      <calculatedColumnFormula>J54</calculatedColumnFormula>
    </tableColumn>
  </tableColumns>
  <tableStyleInfo name="New_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CDD9FD9-D621-45A2-ADD3-FB51FCEFAFF5}" name="GrandTotal" displayName="GrandTotal" ref="H53:I54" totalsRowShown="0">
  <tableColumns count="2">
    <tableColumn id="1" xr3:uid="{8D755C4F-998B-4A2E-83B0-2D4410BE4BCA}" name="Financial Guarantee" dataDxfId="1"/>
    <tableColumn id="2" xr3:uid="{65D209E4-3F79-435C-8E33-3C135C369B7F}" name="Grand Total" dataDxfId="0">
      <calculatedColumnFormula>IF(B40&lt;5.01,(SUM(I36,I52)),O36)</calculatedColumnFormula>
    </tableColumn>
  </tableColumns>
  <tableStyleInfo name="New_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C9A40C-9565-4BF8-BD54-6B686C1D30FF}" name="Pads" displayName="Pads" ref="A9:I13" totalsRowShown="0" headerRowDxfId="85" dataDxfId="84">
  <tableColumns count="9">
    <tableColumn id="1" xr3:uid="{F1F04869-813B-4620-BC4F-28ADDF886792}" name="Drill Sites and Sumps" dataDxfId="83"/>
    <tableColumn id="2" xr3:uid="{A6FA23A4-75C7-4AC7-8AF0-07927133799D}" name="Number" dataDxfId="82"/>
    <tableColumn id="3" xr3:uid="{A0C6C197-6063-4B43-A454-E179481EE22C}" name="Item" dataDxfId="81"/>
    <tableColumn id="4" xr3:uid="{D1F464F4-AA95-4AA3-8C53-122CA4DA147A}" name="Labor Cost" dataDxfId="80" dataCellStyle="Comma">
      <calculatedColumnFormula>B10*E10</calculatedColumnFormula>
    </tableColumn>
    <tableColumn id="5" xr3:uid="{4B8735DF-2628-4691-BD68-EDFCDF9445EE}" name="Manpower" dataDxfId="79"/>
    <tableColumn id="6" xr3:uid="{02DC6517-0131-419A-9AF8-DF48B485AEE5}" name="Equipment" dataDxfId="78"/>
    <tableColumn id="7" xr3:uid="{06E61DE3-515D-4BED-9932-F0360BA969DA}" name="Materials" dataDxfId="77"/>
    <tableColumn id="8" xr3:uid="{E7D1BF29-F990-4886-8294-BD10A8D0777A}" name="Cost each" dataDxfId="76">
      <calculatedColumnFormula>E10+F10+G10</calculatedColumnFormula>
    </tableColumn>
    <tableColumn id="9" xr3:uid="{4E432F3A-7F26-4F6F-BFE9-D7382B971537}" name="Reclamation" dataDxfId="75">
      <calculatedColumnFormula>B10*H10</calculatedColumnFormula>
    </tableColumn>
  </tableColumns>
  <tableStyleInfo name="New_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1A5D07-5475-4543-84B3-C19D36A791A8}" name="Linear" displayName="Linear" ref="A15:I17" totalsRowShown="0" headerRowDxfId="74" dataDxfId="73">
  <autoFilter ref="A15:I17" xr:uid="{5D1A5D07-5475-4543-84B3-C19D36A791A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B7E54703-8164-4999-8CBF-3CF4A864286A}" name="Linear Features" dataDxfId="72"/>
    <tableColumn id="2" xr3:uid="{6541D209-2977-4B4A-9D0C-F9E1F9C24016}" name="Linear Feet" dataDxfId="71"/>
    <tableColumn id="3" xr3:uid="{0FA4EEEC-6D9C-4A4D-AD2F-44102866D93A}" name="Item" dataDxfId="70"/>
    <tableColumn id="4" xr3:uid="{E25BCEB3-0EBF-466B-8813-687B5D0FC36C}" name="Labor Cost" dataDxfId="69" dataCellStyle="Comma">
      <calculatedColumnFormula>B16*E16</calculatedColumnFormula>
    </tableColumn>
    <tableColumn id="5" xr3:uid="{CD1583DB-2DD1-42F0-8E17-28F7D1CF42D3}" name="Manpower" dataDxfId="68"/>
    <tableColumn id="6" xr3:uid="{7E896A3A-2FEC-4E12-A3A9-0691F3CC53A1}" name="Equipment" dataDxfId="67"/>
    <tableColumn id="7" xr3:uid="{B5EB2AF7-F485-49E1-901F-FE915F959152}" name="Materials" dataDxfId="66"/>
    <tableColumn id="8" xr3:uid="{B8453DA0-E113-4345-B9F1-D6FE7152F0F0}" name="Cost/Linear Foot" dataDxfId="65">
      <calculatedColumnFormula>E16+F16+G16</calculatedColumnFormula>
    </tableColumn>
    <tableColumn id="9" xr3:uid="{12CC71F2-97EB-4BA3-B594-CA8E7BAD4610}" name="Reclamation" dataDxfId="64">
      <calculatedColumnFormula>B16*H16</calculatedColumnFormula>
    </tableColumn>
  </tableColumns>
  <tableStyleInfo name="New_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1F6EE3A-E897-4EC2-BF07-8657C69AE6B0}" name="Revegetation" displayName="Revegetation" ref="A19:I20" totalsRowShown="0" headerRowDxfId="63" dataDxfId="62">
  <autoFilter ref="A19:I20" xr:uid="{01F6EE3A-E897-4EC2-BF07-8657C69AE6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ECDA045-8D26-49C1-9A49-C7008CE24980}" name="Revegetation" dataDxfId="61"/>
    <tableColumn id="2" xr3:uid="{FC276353-8DB0-441D-B822-784D3824EEF4}" name="Slope Acres" dataDxfId="60">
      <calculatedColumnFormula>D40</calculatedColumnFormula>
    </tableColumn>
    <tableColumn id="3" xr3:uid="{D4748DB8-AE3E-4A93-9431-30B65ABAE05F}" name="Item" dataDxfId="59"/>
    <tableColumn id="4" xr3:uid="{E09C995F-044C-49D7-8228-FA5581F72496}" name="Labor Cost" dataDxfId="58" dataCellStyle="Comma">
      <calculatedColumnFormula>B20*E20</calculatedColumnFormula>
    </tableColumn>
    <tableColumn id="5" xr3:uid="{AD89A1CF-C4E6-4060-87A8-4DF6ECB23C33}" name="Manpower" dataDxfId="57"/>
    <tableColumn id="6" xr3:uid="{4A475F7E-4DD9-4C9B-851C-9A82A5520B13}" name="Equipment" dataDxfId="56"/>
    <tableColumn id="7" xr3:uid="{D78E15C3-A481-46F0-A712-7C11F29B8B52}" name="Materials" dataDxfId="55"/>
    <tableColumn id="8" xr3:uid="{CEE4D97D-E2B9-48A2-B1FD-3B80EB3C1CD6}" name="Cost/Acre" dataDxfId="54">
      <calculatedColumnFormula>E20+F20+G20</calculatedColumnFormula>
    </tableColumn>
    <tableColumn id="9" xr3:uid="{BE2C09F5-0A23-42D8-8A8F-115209F6DBFC}" name="Reseeding" dataDxfId="53">
      <calculatedColumnFormula>B20*H20</calculatedColumnFormula>
    </tableColumn>
  </tableColumns>
  <tableStyleInfo name="New_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43C42C-6F96-4B3E-921B-D1429E546D08}" name="Mobilization" displayName="Mobilization" ref="A22:I24" totalsRowShown="0" dataDxfId="52">
  <autoFilter ref="A22:I24" xr:uid="{6143C42C-6F96-4B3E-921B-D1429E546D0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75A5F240-FE6C-4702-8F02-630C0B18BC35}" name="Mobilization" dataDxfId="51"/>
    <tableColumn id="2" xr3:uid="{3F38B653-9340-49B6-9C17-455A864EA6A3}" name="Column2" dataDxfId="50"/>
    <tableColumn id="3" xr3:uid="{F294A873-4A4A-4C2E-B2E2-1CF158928A58}" name="Item" dataDxfId="49"/>
    <tableColumn id="4" xr3:uid="{396CD207-9C5E-49E2-9AA5-866CFFCB7BE8}" name="Labor Cost">
      <calculatedColumnFormula>IF((B11+B15+B16)&gt;0.009,E23,0)</calculatedColumnFormula>
    </tableColumn>
    <tableColumn id="5" xr3:uid="{06A0E8E9-4184-4B1D-A7E4-754B418830B0}" name="Manpower" dataDxfId="48">
      <calculatedColumnFormula>H23*0.42</calculatedColumnFormula>
    </tableColumn>
    <tableColumn id="6" xr3:uid="{66B4D691-9A5D-47D9-BF1A-AF93966BED36}" name="Equipment" dataDxfId="47">
      <calculatedColumnFormula>H23*0.58</calculatedColumnFormula>
    </tableColumn>
    <tableColumn id="7" xr3:uid="{4EC7D182-317B-4D15-816F-5E11BE69D2D8}" name="Column5" dataDxfId="46"/>
    <tableColumn id="8" xr3:uid="{30809873-34CF-4B5B-A80D-2D55DD9B35F3}" name="Mob+Demob" dataDxfId="45"/>
    <tableColumn id="9" xr3:uid="{0ADFED8C-7E2A-43E8-8074-A2A76ED61C71}" name="Column6" dataDxfId="44">
      <calculatedColumnFormula>IF((B11+B15+B16)&gt;0.009,H23,0)</calculatedColumnFormula>
    </tableColumn>
  </tableColumns>
  <tableStyleInfo name="New_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AC017B9-72E9-4504-A286-53D776D70666}" name="Drilling" displayName="Drilling" ref="A26:I29" totalsRowShown="0" headerRowDxfId="43" dataDxfId="42">
  <autoFilter ref="A26:I29" xr:uid="{9AC017B9-72E9-4504-A286-53D776D706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FEE8A22B-F601-4FA8-A876-B664A10CC08F}" name="Drill Holes Open" dataDxfId="41"/>
    <tableColumn id="2" xr3:uid="{D8A7E0C1-A3A7-49FE-B0CD-F8F18151AF69}" name="#/Feet" dataDxfId="40"/>
    <tableColumn id="3" xr3:uid="{004B64C8-87ED-4114-A737-51BAF9D5B867}" name="Item" dataDxfId="39"/>
    <tableColumn id="4" xr3:uid="{2F4CBF97-1D0F-4918-B93A-38899EF892A9}" name="Labor Cost" dataDxfId="38" dataCellStyle="Comma">
      <calculatedColumnFormula>B27*E27</calculatedColumnFormula>
    </tableColumn>
    <tableColumn id="5" xr3:uid="{3E69A399-AE0F-498B-B288-7E7712E19322}" name="Manpower" dataDxfId="37"/>
    <tableColumn id="6" xr3:uid="{47F24596-3816-412C-BDAF-F3585952A5C7}" name="Equipment" dataDxfId="36"/>
    <tableColumn id="7" xr3:uid="{95740185-2E5B-41FE-A102-81216D5686A9}" name="Materials" dataDxfId="35"/>
    <tableColumn id="8" xr3:uid="{511E7724-C12B-4CB3-965F-49E4361B618D}" name="Cost/Foot" dataDxfId="34">
      <calculatedColumnFormula>SUM(E27,F27,G27)</calculatedColumnFormula>
    </tableColumn>
    <tableColumn id="9" xr3:uid="{07147828-4FA8-4C01-8F17-23EEB8EF30AD}" name="Drill Hole Plugging" dataDxfId="33">
      <calculatedColumnFormula>B27*H27</calculatedColumnFormula>
    </tableColumn>
  </tableColumns>
  <tableStyleInfo name="New_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4DBB1AB-5586-45D3-9924-B8AB819C82E3}" name="DrillingMob" displayName="DrillingMob" ref="A31:I33" totalsRowShown="0" dataDxfId="32">
  <autoFilter ref="A31:I33" xr:uid="{E4DBB1AB-5586-45D3-9924-B8AB819C82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C61F047C-39F8-4F41-B1C9-99562F362980}" name="Hole Plugging Mobilization" dataDxfId="31"/>
    <tableColumn id="2" xr3:uid="{98B7157F-123B-43F0-8C73-E04848ECBF82}" name="Blank" dataDxfId="30"/>
    <tableColumn id="3" xr3:uid="{70398194-3BD0-4703-B3AD-98D1360D3ABD}" name="Item" dataDxfId="29"/>
    <tableColumn id="4" xr3:uid="{1DC0A612-7544-4A5D-BCD1-457D0D011B02}" name="Labor Cost" dataDxfId="28" dataCellStyle="Comma">
      <calculatedColumnFormula>IF(B27&gt;0,E32,0)</calculatedColumnFormula>
    </tableColumn>
    <tableColumn id="5" xr3:uid="{775F4F9F-A4C1-4094-8853-589C16C6EFEB}" name="Manpower" dataDxfId="27">
      <calculatedColumnFormula>H32*0.65</calculatedColumnFormula>
    </tableColumn>
    <tableColumn id="6" xr3:uid="{AF864AA4-D15C-4E2F-966B-D396C581061E}" name="Equipment" dataDxfId="26">
      <calculatedColumnFormula>H32*0.35</calculatedColumnFormula>
    </tableColumn>
    <tableColumn id="7" xr3:uid="{336B37B3-1B89-444B-BD7D-BF8F717AF7D0}" name="Column5" dataDxfId="25"/>
    <tableColumn id="8" xr3:uid="{E5257FB0-CBD3-41A7-B5FA-3B00B794976D}" name="Mob+Demob" dataDxfId="24"/>
    <tableColumn id="9" xr3:uid="{A268D77A-03BF-4440-91E3-A3D58D564287}" name="Hole Plugging Mob/Demob" dataDxfId="23">
      <calculatedColumnFormula>IF(B27&gt;0,H32,0)</calculatedColumnFormula>
    </tableColumn>
  </tableColumns>
  <tableStyleInfo name="New_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450DF61-7BBA-4231-AD71-0151BBF13C9C}" name="Disturbance" displayName="Disturbance" ref="A34:D40" totalsRowShown="0" headerRowBorderDxfId="22" tableBorderDxfId="21">
  <autoFilter ref="A34:D40" xr:uid="{1450DF61-7BBA-4231-AD71-0151BBF13C9C}">
    <filterColumn colId="0" hiddenButton="1"/>
    <filterColumn colId="1" hiddenButton="1"/>
    <filterColumn colId="2" hiddenButton="1"/>
    <filterColumn colId="3" hiddenButton="1"/>
  </autoFilter>
  <tableColumns count="4">
    <tableColumn id="1" xr3:uid="{E0059604-B5B0-45B5-8A0F-CA61176FEC58}" name="Disturbance Type"/>
    <tableColumn id="2" xr3:uid="{C0FA5B7E-936C-4F70-905E-F27F3A2FB1D5}" name="Total Acres"/>
    <tableColumn id="3" xr3:uid="{3A13CC4A-6EE3-48E5-A6E0-49A70C38759A}" name="Total Linear Feet"/>
    <tableColumn id="4" xr3:uid="{2215D364-FFF9-4411-B4CE-D84407A7CA04}" name="Slope Acres" dataDxfId="20"/>
  </tableColumns>
  <tableStyleInfo name="New_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62162EC-8B1F-403F-8375-3323FD70338D}" name="Total" displayName="Total" ref="I35:I36" totalsRowShown="0" headerRowDxfId="19" dataDxfId="18">
  <autoFilter ref="I35:I36" xr:uid="{D62162EC-8B1F-403F-8375-3323FD70338D}">
    <filterColumn colId="0" hiddenButton="1"/>
  </autoFilter>
  <tableColumns count="1">
    <tableColumn id="1" xr3:uid="{BA37B9AF-27DC-4E51-884E-AE07E52BA38A}" name="Total Reclamation Cost" dataDxfId="17">
      <calculatedColumnFormula>IF(B40&lt;5.01,(SUM(I6:I33)),O36)</calculatedColumnFormula>
    </tableColumn>
  </tableColumns>
  <tableStyleInfo name="New_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19"/>
  <sheetViews>
    <sheetView tabSelected="1" zoomScale="90" zoomScaleNormal="90" zoomScaleSheetLayoutView="100" workbookViewId="0">
      <selection activeCell="A3" sqref="A3:I3"/>
    </sheetView>
  </sheetViews>
  <sheetFormatPr defaultRowHeight="12.5" x14ac:dyDescent="0.25"/>
  <cols>
    <col min="1" max="1" width="30.26953125" customWidth="1"/>
    <col min="2" max="2" width="13.54296875" customWidth="1"/>
    <col min="3" max="3" width="29" customWidth="1"/>
    <col min="4" max="4" width="14.6328125" customWidth="1"/>
    <col min="5" max="5" width="11.26953125" customWidth="1"/>
    <col min="6" max="6" width="11.453125" customWidth="1"/>
    <col min="7" max="7" width="12" customWidth="1"/>
    <col min="8" max="8" width="23.26953125" customWidth="1"/>
    <col min="9" max="9" width="27.1796875" bestFit="1" customWidth="1"/>
    <col min="10" max="10" width="10.81640625" hidden="1" customWidth="1"/>
    <col min="11" max="11" width="13.453125" hidden="1" customWidth="1"/>
    <col min="12" max="12" width="10.26953125" hidden="1" customWidth="1"/>
    <col min="13" max="16" width="0" hidden="1" customWidth="1"/>
    <col min="35" max="35" width="19.1796875" customWidth="1"/>
  </cols>
  <sheetData>
    <row r="1" spans="1:12" ht="15.5" x14ac:dyDescent="0.25">
      <c r="A1" s="200">
        <f ca="1">TODAY()</f>
        <v>45147</v>
      </c>
      <c r="B1" s="241" t="s">
        <v>244</v>
      </c>
      <c r="C1" s="242"/>
      <c r="D1" s="242"/>
      <c r="E1" s="242"/>
      <c r="F1" s="242"/>
      <c r="G1" s="1"/>
      <c r="H1" s="302"/>
      <c r="I1" s="302"/>
    </row>
    <row r="2" spans="1:12" ht="15.5" x14ac:dyDescent="0.3">
      <c r="B2" s="241" t="s">
        <v>245</v>
      </c>
      <c r="C2" s="242"/>
      <c r="D2" s="242"/>
      <c r="E2" s="242"/>
      <c r="F2" s="242"/>
      <c r="G2" s="1"/>
      <c r="H2" s="240" t="s">
        <v>278</v>
      </c>
    </row>
    <row r="3" spans="1:12" ht="13" x14ac:dyDescent="0.25">
      <c r="A3" s="317" t="s">
        <v>274</v>
      </c>
      <c r="B3" s="317"/>
      <c r="C3" s="317"/>
      <c r="D3" s="317"/>
      <c r="E3" s="317"/>
      <c r="F3" s="317"/>
      <c r="G3" s="317"/>
      <c r="H3" s="317"/>
      <c r="I3" s="317"/>
    </row>
    <row r="4" spans="1:12" ht="13" x14ac:dyDescent="0.3">
      <c r="A4" s="148" t="s">
        <v>1</v>
      </c>
      <c r="B4" s="149" t="s">
        <v>2</v>
      </c>
      <c r="C4" s="150"/>
      <c r="D4" s="151"/>
      <c r="E4" s="152"/>
      <c r="F4" s="152"/>
      <c r="G4" s="152"/>
      <c r="H4" s="153"/>
      <c r="I4" s="153"/>
      <c r="J4" s="153"/>
      <c r="K4" s="153"/>
      <c r="L4" s="153"/>
    </row>
    <row r="5" spans="1:12" ht="13.5" thickBot="1" x14ac:dyDescent="0.35">
      <c r="A5" s="148" t="s">
        <v>7</v>
      </c>
      <c r="B5" s="148" t="s">
        <v>8</v>
      </c>
      <c r="C5" s="148" t="s">
        <v>289</v>
      </c>
      <c r="D5" s="248" t="s">
        <v>22</v>
      </c>
      <c r="E5" s="152" t="s">
        <v>3</v>
      </c>
      <c r="F5" s="152" t="s">
        <v>4</v>
      </c>
      <c r="G5" s="152" t="s">
        <v>5</v>
      </c>
      <c r="H5" s="154" t="s">
        <v>0</v>
      </c>
      <c r="I5" s="154" t="s">
        <v>6</v>
      </c>
      <c r="J5" s="155" t="s">
        <v>203</v>
      </c>
      <c r="K5" s="155" t="s">
        <v>204</v>
      </c>
      <c r="L5" s="155" t="s">
        <v>205</v>
      </c>
    </row>
    <row r="6" spans="1:12" ht="13" x14ac:dyDescent="0.25">
      <c r="A6" s="148" t="s">
        <v>9</v>
      </c>
      <c r="B6" s="282"/>
      <c r="C6" s="150" t="s">
        <v>30</v>
      </c>
      <c r="D6" s="192">
        <f>B6*E6</f>
        <v>0</v>
      </c>
      <c r="E6" s="244">
        <v>0.1085</v>
      </c>
      <c r="F6" s="245">
        <v>0.1865</v>
      </c>
      <c r="G6" s="244">
        <v>0</v>
      </c>
      <c r="H6" s="244">
        <f>SUM(E6,F6,G6)</f>
        <v>0.29499999999999998</v>
      </c>
      <c r="I6" s="194">
        <f>B6*H6</f>
        <v>0</v>
      </c>
      <c r="J6" s="157">
        <f>E6*B6</f>
        <v>0</v>
      </c>
      <c r="K6" s="158">
        <f>F6*B6</f>
        <v>0</v>
      </c>
      <c r="L6" s="158">
        <f>G6*B6</f>
        <v>0</v>
      </c>
    </row>
    <row r="7" spans="1:12" ht="13.5" thickBot="1" x14ac:dyDescent="0.3">
      <c r="A7" s="148" t="s">
        <v>11</v>
      </c>
      <c r="B7" s="283"/>
      <c r="C7" s="154" t="s">
        <v>31</v>
      </c>
      <c r="D7" s="192">
        <f>B7*E7</f>
        <v>0</v>
      </c>
      <c r="E7" s="244">
        <v>0.4345</v>
      </c>
      <c r="F7" s="244">
        <v>0.747</v>
      </c>
      <c r="G7" s="244">
        <v>0</v>
      </c>
      <c r="H7" s="244">
        <f>SUM(E7,F7,G7)</f>
        <v>1.1815</v>
      </c>
      <c r="I7" s="194">
        <f>B7*H7</f>
        <v>0</v>
      </c>
      <c r="J7" s="157">
        <f>E7*B7</f>
        <v>0</v>
      </c>
      <c r="K7" s="158">
        <f>F7*B7</f>
        <v>0</v>
      </c>
      <c r="L7" s="158">
        <f>G7*B7</f>
        <v>0</v>
      </c>
    </row>
    <row r="8" spans="1:12" ht="13" x14ac:dyDescent="0.25">
      <c r="A8" s="148"/>
      <c r="B8" s="159"/>
      <c r="C8" s="154"/>
      <c r="D8" s="192"/>
      <c r="E8" s="154"/>
      <c r="F8" s="153"/>
      <c r="G8" s="154"/>
      <c r="H8" s="153"/>
      <c r="I8" s="194" t="s">
        <v>224</v>
      </c>
      <c r="J8" s="157"/>
      <c r="K8" s="153"/>
      <c r="L8" s="153"/>
    </row>
    <row r="9" spans="1:12" ht="13.5" thickBot="1" x14ac:dyDescent="0.3">
      <c r="A9" s="148" t="s">
        <v>227</v>
      </c>
      <c r="B9" s="160" t="s">
        <v>218</v>
      </c>
      <c r="C9" s="257" t="s">
        <v>289</v>
      </c>
      <c r="D9" s="258" t="s">
        <v>22</v>
      </c>
      <c r="E9" s="152" t="s">
        <v>3</v>
      </c>
      <c r="F9" s="152" t="s">
        <v>4</v>
      </c>
      <c r="G9" s="152" t="s">
        <v>5</v>
      </c>
      <c r="H9" s="154" t="s">
        <v>220</v>
      </c>
      <c r="I9" s="194" t="s">
        <v>13</v>
      </c>
      <c r="J9" s="157"/>
      <c r="K9" s="157"/>
      <c r="L9" s="153"/>
    </row>
    <row r="10" spans="1:12" ht="13" x14ac:dyDescent="0.25">
      <c r="A10" s="148" t="s">
        <v>131</v>
      </c>
      <c r="B10" s="284"/>
      <c r="C10" s="154" t="s">
        <v>10</v>
      </c>
      <c r="D10" s="192">
        <f>B10*E10</f>
        <v>0</v>
      </c>
      <c r="E10" s="243">
        <v>29</v>
      </c>
      <c r="F10" s="243">
        <v>49.8</v>
      </c>
      <c r="G10" s="243">
        <v>0</v>
      </c>
      <c r="H10" s="243">
        <f>E10+F10+G10</f>
        <v>78.8</v>
      </c>
      <c r="I10" s="194">
        <f>B10*H10</f>
        <v>0</v>
      </c>
      <c r="J10" s="157">
        <f>E10*B10</f>
        <v>0</v>
      </c>
      <c r="K10" s="158">
        <f>F10*B10</f>
        <v>0</v>
      </c>
      <c r="L10" s="158">
        <f>G10*B10</f>
        <v>0</v>
      </c>
    </row>
    <row r="11" spans="1:12" ht="13" x14ac:dyDescent="0.25">
      <c r="A11" s="148" t="s">
        <v>132</v>
      </c>
      <c r="B11" s="285"/>
      <c r="C11" s="154" t="s">
        <v>10</v>
      </c>
      <c r="D11" s="192">
        <f>B11*E11</f>
        <v>0</v>
      </c>
      <c r="E11" s="243">
        <v>173.8</v>
      </c>
      <c r="F11" s="243">
        <v>298.8</v>
      </c>
      <c r="G11" s="243">
        <v>0</v>
      </c>
      <c r="H11" s="243">
        <f>E11+F11+G11</f>
        <v>472.6</v>
      </c>
      <c r="I11" s="194">
        <f>B11*H11</f>
        <v>0</v>
      </c>
      <c r="J11" s="157">
        <f>E11*B11</f>
        <v>0</v>
      </c>
      <c r="K11" s="158">
        <f>F11*B11</f>
        <v>0</v>
      </c>
      <c r="L11" s="158">
        <f>G11*B11</f>
        <v>0</v>
      </c>
    </row>
    <row r="12" spans="1:12" ht="13.5" thickBot="1" x14ac:dyDescent="0.3">
      <c r="A12" s="148" t="s">
        <v>226</v>
      </c>
      <c r="B12" s="286"/>
      <c r="C12" s="154" t="s">
        <v>202</v>
      </c>
      <c r="D12" s="192">
        <f>B12*E12</f>
        <v>0</v>
      </c>
      <c r="E12" s="243">
        <v>14.2</v>
      </c>
      <c r="F12" s="243">
        <v>35.6</v>
      </c>
      <c r="G12" s="243">
        <f>G17*2.5*70</f>
        <v>0</v>
      </c>
      <c r="H12" s="243">
        <f>E12+F12+G12</f>
        <v>49.8</v>
      </c>
      <c r="I12" s="194">
        <f>B12*H12</f>
        <v>0</v>
      </c>
      <c r="J12" s="157">
        <f>E12*B12</f>
        <v>0</v>
      </c>
      <c r="K12" s="158">
        <f>F12*B12</f>
        <v>0</v>
      </c>
      <c r="L12" s="158">
        <f>G12*B12</f>
        <v>0</v>
      </c>
    </row>
    <row r="13" spans="1:12" ht="13" x14ac:dyDescent="0.25">
      <c r="A13" s="148" t="s">
        <v>133</v>
      </c>
      <c r="B13" s="202">
        <f>B10+B12</f>
        <v>0</v>
      </c>
      <c r="C13" s="154" t="s">
        <v>10</v>
      </c>
      <c r="D13" s="192">
        <f>B13*E13</f>
        <v>0</v>
      </c>
      <c r="E13" s="243">
        <v>19.333333333333332</v>
      </c>
      <c r="F13" s="243">
        <v>33.200000000000003</v>
      </c>
      <c r="G13" s="243">
        <v>0</v>
      </c>
      <c r="H13" s="243">
        <f>E13+F13+G13</f>
        <v>52.533333333333331</v>
      </c>
      <c r="I13" s="194">
        <f>B13*H13</f>
        <v>0</v>
      </c>
      <c r="J13" s="157">
        <f>E13*B13</f>
        <v>0</v>
      </c>
      <c r="K13" s="158">
        <f>F13*B13</f>
        <v>0</v>
      </c>
      <c r="L13" s="158">
        <f>G13*B13</f>
        <v>0</v>
      </c>
    </row>
    <row r="14" spans="1:12" ht="13" x14ac:dyDescent="0.25">
      <c r="A14" s="148"/>
      <c r="B14" s="161"/>
      <c r="C14" s="154"/>
      <c r="D14" s="192"/>
      <c r="E14" s="162"/>
      <c r="F14" s="162"/>
      <c r="G14" s="162"/>
      <c r="H14" s="162"/>
      <c r="I14" s="194"/>
      <c r="J14" s="157"/>
      <c r="K14" s="158"/>
      <c r="L14" s="158"/>
    </row>
    <row r="15" spans="1:12" ht="13.5" thickBot="1" x14ac:dyDescent="0.3">
      <c r="A15" s="257" t="s">
        <v>290</v>
      </c>
      <c r="B15" s="163" t="s">
        <v>219</v>
      </c>
      <c r="C15" s="257" t="s">
        <v>289</v>
      </c>
      <c r="D15" s="259" t="s">
        <v>22</v>
      </c>
      <c r="E15" s="152" t="s">
        <v>3</v>
      </c>
      <c r="F15" s="152" t="s">
        <v>4</v>
      </c>
      <c r="G15" s="152" t="s">
        <v>5</v>
      </c>
      <c r="H15" s="154" t="s">
        <v>0</v>
      </c>
      <c r="I15" s="249" t="s">
        <v>13</v>
      </c>
      <c r="J15" s="157"/>
      <c r="K15" s="158"/>
      <c r="L15" s="158"/>
    </row>
    <row r="16" spans="1:12" ht="13" x14ac:dyDescent="0.25">
      <c r="A16" s="148" t="s">
        <v>134</v>
      </c>
      <c r="B16" s="282"/>
      <c r="C16" s="154" t="s">
        <v>10</v>
      </c>
      <c r="D16" s="192">
        <f>B16*E16</f>
        <v>0</v>
      </c>
      <c r="E16" s="243">
        <v>1.19</v>
      </c>
      <c r="F16" s="243">
        <v>2.6233333333333335</v>
      </c>
      <c r="G16" s="243">
        <v>0</v>
      </c>
      <c r="H16" s="243">
        <f>E16+F16+G16</f>
        <v>3.8133333333333335</v>
      </c>
      <c r="I16" s="194">
        <f>B16*H16</f>
        <v>0</v>
      </c>
      <c r="J16" s="157">
        <f>E16*B16</f>
        <v>0</v>
      </c>
      <c r="K16" s="158">
        <f>F16*B16</f>
        <v>0</v>
      </c>
      <c r="L16" s="158">
        <f>G16*B16</f>
        <v>0</v>
      </c>
    </row>
    <row r="17" spans="1:12" ht="13.5" thickBot="1" x14ac:dyDescent="0.3">
      <c r="A17" s="148" t="s">
        <v>118</v>
      </c>
      <c r="B17" s="283"/>
      <c r="C17" s="154" t="s">
        <v>202</v>
      </c>
      <c r="D17" s="192">
        <f>B17*E17</f>
        <v>0</v>
      </c>
      <c r="E17" s="243">
        <v>1.4200000000000001E-2</v>
      </c>
      <c r="F17" s="243">
        <v>3.56E-2</v>
      </c>
      <c r="G17" s="243">
        <v>0</v>
      </c>
      <c r="H17" s="243">
        <f>E17+F17+G17</f>
        <v>4.9799999999999997E-2</v>
      </c>
      <c r="I17" s="194">
        <f>B17*H17</f>
        <v>0</v>
      </c>
      <c r="J17" s="157">
        <f>E17*B17</f>
        <v>0</v>
      </c>
      <c r="K17" s="158">
        <f>F17*B17</f>
        <v>0</v>
      </c>
      <c r="L17" s="158">
        <f>G17*B17</f>
        <v>0</v>
      </c>
    </row>
    <row r="18" spans="1:12" x14ac:dyDescent="0.25">
      <c r="A18" s="154"/>
      <c r="B18" s="159"/>
      <c r="C18" s="154"/>
      <c r="D18" s="193"/>
      <c r="E18" s="164"/>
      <c r="F18" s="164"/>
      <c r="G18" s="164"/>
      <c r="H18" s="164"/>
      <c r="I18" s="194"/>
      <c r="J18" s="157"/>
      <c r="K18" s="153"/>
      <c r="L18" s="153"/>
    </row>
    <row r="19" spans="1:12" ht="13" x14ac:dyDescent="0.25">
      <c r="A19" s="148" t="s">
        <v>291</v>
      </c>
      <c r="B19" s="187" t="s">
        <v>228</v>
      </c>
      <c r="C19" s="257" t="s">
        <v>289</v>
      </c>
      <c r="D19" s="260" t="s">
        <v>22</v>
      </c>
      <c r="E19" s="152" t="s">
        <v>3</v>
      </c>
      <c r="F19" s="152" t="s">
        <v>4</v>
      </c>
      <c r="G19" s="152" t="s">
        <v>5</v>
      </c>
      <c r="H19" s="154" t="s">
        <v>229</v>
      </c>
      <c r="I19" s="261" t="s">
        <v>292</v>
      </c>
      <c r="J19" s="157"/>
      <c r="K19" s="153"/>
      <c r="L19" s="153"/>
    </row>
    <row r="20" spans="1:12" ht="13" x14ac:dyDescent="0.25">
      <c r="A20" s="165" t="s">
        <v>250</v>
      </c>
      <c r="B20" s="201">
        <f>D40</f>
        <v>0</v>
      </c>
      <c r="C20" s="154" t="s">
        <v>12</v>
      </c>
      <c r="D20" s="192">
        <f>B20*E20</f>
        <v>0</v>
      </c>
      <c r="E20" s="244">
        <v>175</v>
      </c>
      <c r="F20" s="244">
        <v>100</v>
      </c>
      <c r="G20" s="244">
        <v>332.75</v>
      </c>
      <c r="H20" s="243">
        <f>E20+F20+G20</f>
        <v>607.75</v>
      </c>
      <c r="I20" s="194">
        <f>B20*H20</f>
        <v>0</v>
      </c>
      <c r="J20" s="157">
        <f>E20*B20</f>
        <v>0</v>
      </c>
      <c r="K20" s="158">
        <f>F20*B20</f>
        <v>0</v>
      </c>
      <c r="L20" s="158">
        <f>G20*B20</f>
        <v>0</v>
      </c>
    </row>
    <row r="21" spans="1:12" x14ac:dyDescent="0.25">
      <c r="A21" s="154"/>
      <c r="B21" s="159"/>
      <c r="C21" s="154"/>
      <c r="D21" s="193"/>
      <c r="E21" s="164"/>
      <c r="F21" s="164"/>
      <c r="G21" s="164"/>
      <c r="H21" s="164"/>
      <c r="I21" s="194"/>
      <c r="J21" s="157"/>
      <c r="K21" s="153"/>
      <c r="L21" s="153"/>
    </row>
    <row r="22" spans="1:12" x14ac:dyDescent="0.25">
      <c r="A22" s="250" t="s">
        <v>296</v>
      </c>
      <c r="B22" s="251" t="s">
        <v>284</v>
      </c>
      <c r="C22" s="250" t="s">
        <v>289</v>
      </c>
      <c r="D22" s="252" t="s">
        <v>22</v>
      </c>
      <c r="E22" s="152" t="s">
        <v>3</v>
      </c>
      <c r="F22" s="152" t="s">
        <v>4</v>
      </c>
      <c r="G22" s="253" t="s">
        <v>287</v>
      </c>
      <c r="H22" s="164" t="s">
        <v>188</v>
      </c>
      <c r="I22" s="254" t="s">
        <v>288</v>
      </c>
      <c r="J22" s="157"/>
      <c r="K22" s="153"/>
      <c r="L22" s="153"/>
    </row>
    <row r="23" spans="1:12" ht="13" x14ac:dyDescent="0.25">
      <c r="A23" s="165" t="s">
        <v>225</v>
      </c>
      <c r="B23" s="166"/>
      <c r="C23" s="150" t="s">
        <v>185</v>
      </c>
      <c r="D23" s="192">
        <f>IF((B6+B7+B10+B11)&gt;0.009,E23,0)</f>
        <v>0</v>
      </c>
      <c r="E23" s="244">
        <f>H23*0.46</f>
        <v>843.64</v>
      </c>
      <c r="F23" s="244">
        <f>H23*0.54</f>
        <v>990.36</v>
      </c>
      <c r="G23" s="164"/>
      <c r="H23" s="246">
        <v>1834</v>
      </c>
      <c r="I23" s="194">
        <f>IF((B6+B7+B10+B11)&gt;0.01,H23,0)</f>
        <v>0</v>
      </c>
      <c r="J23" s="157">
        <f>D23</f>
        <v>0</v>
      </c>
      <c r="K23" s="158">
        <f>I23-D23</f>
        <v>0</v>
      </c>
      <c r="L23" s="158">
        <f>G23*B23</f>
        <v>0</v>
      </c>
    </row>
    <row r="24" spans="1:12" ht="13" x14ac:dyDescent="0.25">
      <c r="A24" s="165" t="s">
        <v>225</v>
      </c>
      <c r="B24" s="166"/>
      <c r="C24" s="150" t="s">
        <v>186</v>
      </c>
      <c r="D24" s="206">
        <f>IF((B12+B16+B17)&gt;0.009,E24,0)</f>
        <v>0</v>
      </c>
      <c r="E24" s="244">
        <f>H24*0.42</f>
        <v>572.45999999999992</v>
      </c>
      <c r="F24" s="244">
        <f>H24*0.58</f>
        <v>790.54</v>
      </c>
      <c r="G24" s="164"/>
      <c r="H24" s="246">
        <v>1363</v>
      </c>
      <c r="I24" s="192">
        <f>IF((B12+B16+B17)&gt;0.009,H24,0)</f>
        <v>0</v>
      </c>
      <c r="J24" s="157">
        <f>D24</f>
        <v>0</v>
      </c>
      <c r="K24" s="158">
        <f>I24-D24</f>
        <v>0</v>
      </c>
      <c r="L24" s="158">
        <f>G24*B24</f>
        <v>0</v>
      </c>
    </row>
    <row r="25" spans="1:12" ht="13" x14ac:dyDescent="0.25">
      <c r="A25" s="148"/>
      <c r="B25" s="159"/>
      <c r="C25" s="153"/>
      <c r="D25" s="192"/>
      <c r="E25" s="153"/>
      <c r="F25" s="153"/>
      <c r="G25" s="153"/>
      <c r="H25" s="153"/>
      <c r="I25" s="195"/>
      <c r="J25" s="157"/>
      <c r="K25" s="153"/>
      <c r="L25" s="153"/>
    </row>
    <row r="26" spans="1:12" ht="13.5" thickBot="1" x14ac:dyDescent="0.35">
      <c r="A26" s="155" t="s">
        <v>23</v>
      </c>
      <c r="B26" s="160" t="s">
        <v>15</v>
      </c>
      <c r="C26" s="255" t="s">
        <v>289</v>
      </c>
      <c r="D26" s="256" t="s">
        <v>22</v>
      </c>
      <c r="E26" s="152" t="s">
        <v>3</v>
      </c>
      <c r="F26" s="152" t="s">
        <v>4</v>
      </c>
      <c r="G26" s="152" t="s">
        <v>5</v>
      </c>
      <c r="H26" s="154" t="s">
        <v>14</v>
      </c>
      <c r="I26" s="194" t="s">
        <v>16</v>
      </c>
      <c r="J26" s="157"/>
      <c r="K26" s="153"/>
      <c r="L26" s="153"/>
    </row>
    <row r="27" spans="1:12" ht="13" x14ac:dyDescent="0.25">
      <c r="A27" s="148" t="s">
        <v>17</v>
      </c>
      <c r="B27" s="284"/>
      <c r="C27" s="154" t="s">
        <v>32</v>
      </c>
      <c r="D27" s="192">
        <f>B27*E27</f>
        <v>0</v>
      </c>
      <c r="E27" s="244">
        <v>0.65400000000000003</v>
      </c>
      <c r="F27" s="244">
        <v>0.68700000000000006</v>
      </c>
      <c r="G27" s="244">
        <v>0.51500000000000001</v>
      </c>
      <c r="H27" s="244">
        <f>SUM(E27,F27,G27)</f>
        <v>1.8560000000000003</v>
      </c>
      <c r="I27" s="194">
        <f>B27*H27</f>
        <v>0</v>
      </c>
      <c r="J27" s="157">
        <f>E27*B27</f>
        <v>0</v>
      </c>
      <c r="K27" s="158">
        <f>F27*B27</f>
        <v>0</v>
      </c>
      <c r="L27" s="158">
        <f>G27*B27</f>
        <v>0</v>
      </c>
    </row>
    <row r="28" spans="1:12" ht="13" x14ac:dyDescent="0.25">
      <c r="A28" s="148" t="s">
        <v>18</v>
      </c>
      <c r="B28" s="285"/>
      <c r="C28" s="154" t="s">
        <v>33</v>
      </c>
      <c r="D28" s="192">
        <f>B28*E28</f>
        <v>0</v>
      </c>
      <c r="E28" s="244">
        <v>0.748</v>
      </c>
      <c r="F28" s="244">
        <v>0.318</v>
      </c>
      <c r="G28" s="244">
        <v>1.4E-2</v>
      </c>
      <c r="H28" s="244">
        <f>SUM(E28,F28,G28)</f>
        <v>1.08</v>
      </c>
      <c r="I28" s="194">
        <f>B28*H28</f>
        <v>0</v>
      </c>
      <c r="J28" s="157">
        <f>E28*B28</f>
        <v>0</v>
      </c>
      <c r="K28" s="158">
        <f>F28*B28</f>
        <v>0</v>
      </c>
      <c r="L28" s="158">
        <f>G28*B28</f>
        <v>0</v>
      </c>
    </row>
    <row r="29" spans="1:12" ht="13.5" thickBot="1" x14ac:dyDescent="0.3">
      <c r="A29" s="148" t="s">
        <v>129</v>
      </c>
      <c r="B29" s="286"/>
      <c r="C29" s="154" t="s">
        <v>130</v>
      </c>
      <c r="D29" s="192">
        <f>B29*E29</f>
        <v>0</v>
      </c>
      <c r="E29" s="244">
        <v>0.88300000000000001</v>
      </c>
      <c r="F29" s="244">
        <v>0.96799999999999997</v>
      </c>
      <c r="G29" s="244">
        <v>0</v>
      </c>
      <c r="H29" s="244">
        <f>SUM(E29,F29,G29)</f>
        <v>1.851</v>
      </c>
      <c r="I29" s="194">
        <f>B29*H29</f>
        <v>0</v>
      </c>
      <c r="J29" s="157">
        <f>E29*B29</f>
        <v>0</v>
      </c>
      <c r="K29" s="158">
        <f>F29*B29</f>
        <v>0</v>
      </c>
      <c r="L29" s="158">
        <f>G29*B29</f>
        <v>0</v>
      </c>
    </row>
    <row r="30" spans="1:12" ht="13" x14ac:dyDescent="0.25">
      <c r="A30" s="148"/>
      <c r="B30" s="167"/>
      <c r="C30" s="154"/>
      <c r="D30" s="192"/>
      <c r="E30" s="164"/>
      <c r="F30" s="164"/>
      <c r="G30" s="164"/>
      <c r="H30" s="164"/>
      <c r="I30" s="194"/>
      <c r="J30" s="157"/>
      <c r="K30" s="158"/>
      <c r="L30" s="158"/>
    </row>
    <row r="31" spans="1:12" x14ac:dyDescent="0.25">
      <c r="A31" s="250" t="s">
        <v>293</v>
      </c>
      <c r="B31" s="250" t="s">
        <v>294</v>
      </c>
      <c r="C31" s="250" t="s">
        <v>289</v>
      </c>
      <c r="D31" s="262" t="s">
        <v>22</v>
      </c>
      <c r="E31" s="152" t="s">
        <v>3</v>
      </c>
      <c r="F31" s="152" t="s">
        <v>4</v>
      </c>
      <c r="G31" s="253" t="s">
        <v>287</v>
      </c>
      <c r="H31" s="164" t="s">
        <v>188</v>
      </c>
      <c r="I31" s="263" t="s">
        <v>295</v>
      </c>
      <c r="J31" s="157"/>
      <c r="K31" s="158"/>
      <c r="L31" s="158"/>
    </row>
    <row r="32" spans="1:12" ht="13" x14ac:dyDescent="0.25">
      <c r="A32" s="165" t="s">
        <v>225</v>
      </c>
      <c r="B32" s="154"/>
      <c r="C32" s="154" t="s">
        <v>28</v>
      </c>
      <c r="D32" s="192">
        <f>IF((B27+B29)&gt;0,E32,0)</f>
        <v>0</v>
      </c>
      <c r="E32" s="244">
        <f>H32*0.36</f>
        <v>610.91999999999996</v>
      </c>
      <c r="F32" s="244">
        <f>H32*0.64</f>
        <v>1086.08</v>
      </c>
      <c r="G32" s="164"/>
      <c r="H32" s="246">
        <v>1697</v>
      </c>
      <c r="I32" s="194">
        <f>IF((B27+B29)&gt;0,H32,0)</f>
        <v>0</v>
      </c>
      <c r="J32" s="157">
        <f>D32</f>
        <v>0</v>
      </c>
      <c r="K32" s="158">
        <f>I32-D32</f>
        <v>0</v>
      </c>
      <c r="L32" s="153"/>
    </row>
    <row r="33" spans="1:15" ht="13" x14ac:dyDescent="0.25">
      <c r="A33" s="165" t="s">
        <v>225</v>
      </c>
      <c r="B33" s="154"/>
      <c r="C33" s="154" t="s">
        <v>29</v>
      </c>
      <c r="D33" s="192">
        <f>IF(B28&gt;0,E33,0)</f>
        <v>0</v>
      </c>
      <c r="E33" s="244">
        <f>H33*0.65</f>
        <v>917.15</v>
      </c>
      <c r="F33" s="244">
        <f>H33*0.35</f>
        <v>493.84999999999997</v>
      </c>
      <c r="G33" s="164"/>
      <c r="H33" s="246">
        <v>1411</v>
      </c>
      <c r="I33" s="194">
        <f>IF(B28&gt;0,H33,0)</f>
        <v>0</v>
      </c>
      <c r="J33" s="157">
        <f>D33</f>
        <v>0</v>
      </c>
      <c r="K33" s="158">
        <f>I33-D33</f>
        <v>0</v>
      </c>
      <c r="L33" s="153"/>
    </row>
    <row r="34" spans="1:15" ht="13" x14ac:dyDescent="0.25">
      <c r="A34" s="268" t="s">
        <v>201</v>
      </c>
      <c r="B34" s="269" t="s">
        <v>42</v>
      </c>
      <c r="C34" s="270" t="s">
        <v>117</v>
      </c>
      <c r="D34" s="271" t="s">
        <v>228</v>
      </c>
      <c r="E34" s="168"/>
      <c r="F34" s="168"/>
      <c r="G34" s="164"/>
      <c r="H34" s="164"/>
      <c r="I34" s="194"/>
      <c r="J34" s="153"/>
      <c r="K34" s="153"/>
      <c r="L34" s="153"/>
    </row>
    <row r="35" spans="1:15" ht="13" x14ac:dyDescent="0.25">
      <c r="A35" s="169" t="s">
        <v>214</v>
      </c>
      <c r="B35" s="188">
        <f>'Roads'!M7</f>
        <v>0</v>
      </c>
      <c r="C35" s="170">
        <f>'Roads'!C7</f>
        <v>0</v>
      </c>
      <c r="D35" s="264">
        <f>'Roads'!N7</f>
        <v>0</v>
      </c>
      <c r="E35" s="153"/>
      <c r="F35" s="154"/>
      <c r="G35" s="154"/>
      <c r="H35" s="154"/>
      <c r="I35" s="171" t="s">
        <v>21</v>
      </c>
      <c r="J35" s="172"/>
      <c r="K35" s="172"/>
      <c r="L35" s="172"/>
      <c r="M35" s="126" t="s">
        <v>193</v>
      </c>
    </row>
    <row r="36" spans="1:15" ht="13" x14ac:dyDescent="0.3">
      <c r="A36" s="155" t="s">
        <v>215</v>
      </c>
      <c r="B36" s="189">
        <f>'Drill Sites'!N8</f>
        <v>0</v>
      </c>
      <c r="C36" s="173"/>
      <c r="D36" s="265">
        <f>'Drill Sites'!O8</f>
        <v>0</v>
      </c>
      <c r="E36" s="153"/>
      <c r="F36" s="154"/>
      <c r="G36" s="154"/>
      <c r="H36" s="154"/>
      <c r="I36" s="156">
        <f>IF(B40&lt;5.01,(SUM(I6:I33)),O36)</f>
        <v>0</v>
      </c>
      <c r="J36" s="157">
        <f>SUM(J6:J33)</f>
        <v>0</v>
      </c>
      <c r="K36" s="157">
        <f>SUM(K6:K33)</f>
        <v>0</v>
      </c>
      <c r="L36" s="157">
        <f>SUM(L6:L33)</f>
        <v>0</v>
      </c>
      <c r="M36" s="127">
        <f>J36+K36+L36</f>
        <v>0</v>
      </c>
      <c r="O36" s="5" t="s">
        <v>221</v>
      </c>
    </row>
    <row r="37" spans="1:15" ht="26" x14ac:dyDescent="0.3">
      <c r="A37" s="174" t="s">
        <v>133</v>
      </c>
      <c r="B37" s="190">
        <f>Sumps!P7</f>
        <v>0</v>
      </c>
      <c r="C37" s="175"/>
      <c r="D37" s="265">
        <f>Sumps!P7</f>
        <v>0</v>
      </c>
      <c r="E37" s="153"/>
      <c r="F37" s="154"/>
      <c r="G37" s="154"/>
      <c r="H37" s="154"/>
      <c r="I37" s="194"/>
      <c r="J37" s="176" t="s">
        <v>206</v>
      </c>
      <c r="K37" s="176" t="s">
        <v>206</v>
      </c>
      <c r="L37" s="176" t="s">
        <v>206</v>
      </c>
    </row>
    <row r="38" spans="1:15" ht="13" x14ac:dyDescent="0.25">
      <c r="A38" s="174" t="s">
        <v>134</v>
      </c>
      <c r="B38" s="190">
        <f>Trenches!N7</f>
        <v>0</v>
      </c>
      <c r="C38" s="170">
        <f>Trenches!C7</f>
        <v>0</v>
      </c>
      <c r="D38" s="265">
        <f>Trenches!N7</f>
        <v>0</v>
      </c>
      <c r="E38" s="153"/>
      <c r="F38" s="154"/>
      <c r="G38" s="154"/>
      <c r="H38" s="154"/>
      <c r="I38" s="194"/>
      <c r="J38" s="203" t="e">
        <f>J36/B40</f>
        <v>#DIV/0!</v>
      </c>
      <c r="K38" s="203" t="e">
        <f>K36/B40</f>
        <v>#DIV/0!</v>
      </c>
      <c r="L38" s="203" t="e">
        <f>L36/B40</f>
        <v>#DIV/0!</v>
      </c>
    </row>
    <row r="39" spans="1:15" ht="13" x14ac:dyDescent="0.3">
      <c r="A39" s="177" t="s">
        <v>216</v>
      </c>
      <c r="B39" s="191">
        <f>'X-country'!H17</f>
        <v>0</v>
      </c>
      <c r="C39" s="178">
        <f>IF('X-country'!E17&gt;0,'X-country'!E17,'X-country'!D17)</f>
        <v>0</v>
      </c>
      <c r="D39" s="266">
        <f>'X-country'!H17</f>
        <v>0</v>
      </c>
      <c r="E39" s="153"/>
      <c r="F39" s="154"/>
      <c r="G39" s="154"/>
      <c r="H39" s="154"/>
      <c r="I39" s="179" t="s">
        <v>20</v>
      </c>
      <c r="J39" s="153"/>
      <c r="K39" s="153"/>
      <c r="L39" s="153"/>
    </row>
    <row r="40" spans="1:15" ht="15.5" x14ac:dyDescent="0.25">
      <c r="A40" s="215" t="s">
        <v>43</v>
      </c>
      <c r="B40" s="217">
        <f>SUM(B35:B39)</f>
        <v>0</v>
      </c>
      <c r="C40" s="216" t="s">
        <v>251</v>
      </c>
      <c r="D40" s="267">
        <f>SUM(D35:D39)</f>
        <v>0</v>
      </c>
      <c r="E40" s="153"/>
      <c r="F40" s="154"/>
      <c r="G40" s="154"/>
      <c r="H40" s="154"/>
      <c r="I40" s="180">
        <f>SUM(D6:D33)</f>
        <v>0</v>
      </c>
      <c r="J40" s="153"/>
      <c r="K40" s="153"/>
      <c r="L40" s="153"/>
    </row>
    <row r="41" spans="1:15" ht="13" x14ac:dyDescent="0.25">
      <c r="A41" s="213"/>
      <c r="B41" s="214"/>
      <c r="C41" s="150"/>
      <c r="D41" s="190"/>
      <c r="E41" s="153"/>
      <c r="F41" s="154"/>
      <c r="G41" s="154"/>
      <c r="H41" s="154"/>
      <c r="I41" s="180"/>
      <c r="J41" s="153"/>
      <c r="K41" s="153"/>
      <c r="L41" s="153"/>
    </row>
    <row r="42" spans="1:15" ht="13" x14ac:dyDescent="0.25">
      <c r="A42" s="213"/>
      <c r="B42" s="214"/>
      <c r="C42" s="148" t="s">
        <v>34</v>
      </c>
      <c r="D42" s="275" t="s">
        <v>283</v>
      </c>
      <c r="E42" s="276" t="s">
        <v>284</v>
      </c>
      <c r="F42" s="250" t="s">
        <v>285</v>
      </c>
      <c r="G42" s="250" t="s">
        <v>286</v>
      </c>
      <c r="H42" s="250" t="s">
        <v>297</v>
      </c>
      <c r="I42" s="277" t="s">
        <v>298</v>
      </c>
      <c r="J42" s="153"/>
      <c r="K42" s="153"/>
      <c r="L42" s="153"/>
    </row>
    <row r="43" spans="1:15" x14ac:dyDescent="0.25">
      <c r="A43" s="287" t="s">
        <v>222</v>
      </c>
      <c r="B43" s="288"/>
      <c r="C43" s="150" t="s">
        <v>248</v>
      </c>
      <c r="D43" s="151"/>
      <c r="E43" s="153"/>
      <c r="F43" s="154"/>
      <c r="H43" s="274" t="s">
        <v>38</v>
      </c>
      <c r="I43" s="196">
        <f>IF(I54&gt;100000,(0.1*I54),0)</f>
        <v>0</v>
      </c>
      <c r="J43" s="153"/>
      <c r="K43" s="153"/>
      <c r="L43" s="153"/>
    </row>
    <row r="44" spans="1:15" ht="13" hidden="1" x14ac:dyDescent="0.25">
      <c r="A44" s="148"/>
      <c r="B44" s="181"/>
      <c r="C44" s="154"/>
      <c r="D44" s="151"/>
      <c r="E44" s="153"/>
      <c r="F44" s="154"/>
      <c r="G44" s="272" t="s">
        <v>27</v>
      </c>
      <c r="H44" s="273">
        <f>PRODUCT(I36,0.03)</f>
        <v>0</v>
      </c>
      <c r="I44" s="194"/>
      <c r="J44" s="153"/>
      <c r="K44" s="153"/>
      <c r="L44" s="153"/>
    </row>
    <row r="45" spans="1:15" ht="13" x14ac:dyDescent="0.25">
      <c r="A45" s="247" t="s">
        <v>223</v>
      </c>
      <c r="B45" s="181"/>
      <c r="C45" s="150" t="s">
        <v>19</v>
      </c>
      <c r="D45" s="164"/>
      <c r="E45" s="153"/>
      <c r="F45" s="154"/>
      <c r="G45" s="272"/>
      <c r="H45" s="182" t="s">
        <v>25</v>
      </c>
      <c r="I45" s="197">
        <f>PRODUCT(I40,0.015)</f>
        <v>0</v>
      </c>
      <c r="J45" s="153"/>
      <c r="K45" s="153"/>
      <c r="L45" s="153"/>
    </row>
    <row r="46" spans="1:15" ht="13" x14ac:dyDescent="0.25">
      <c r="A46" t="s">
        <v>166</v>
      </c>
      <c r="B46" s="181"/>
      <c r="C46" s="150" t="s">
        <v>247</v>
      </c>
      <c r="D46" s="164"/>
      <c r="E46" s="153"/>
      <c r="F46" s="154"/>
      <c r="G46" s="154"/>
      <c r="H46" s="182" t="s">
        <v>37</v>
      </c>
      <c r="I46" s="198">
        <f>IF(I36&gt;100000,+H44,0)</f>
        <v>0</v>
      </c>
      <c r="J46" s="153"/>
      <c r="K46" s="153"/>
      <c r="L46" s="153"/>
    </row>
    <row r="47" spans="1:15" x14ac:dyDescent="0.25">
      <c r="A47" s="225" t="s">
        <v>259</v>
      </c>
      <c r="C47" s="154" t="s">
        <v>26</v>
      </c>
      <c r="D47" s="154"/>
      <c r="E47" s="154"/>
      <c r="F47" s="154"/>
      <c r="G47" s="154"/>
      <c r="H47" s="182" t="s">
        <v>38</v>
      </c>
      <c r="I47" s="198">
        <f>PRODUCT(I36,0.1)</f>
        <v>0</v>
      </c>
      <c r="J47" s="153"/>
      <c r="K47" s="153"/>
      <c r="L47" s="153"/>
    </row>
    <row r="48" spans="1:15" x14ac:dyDescent="0.25">
      <c r="A48" s="226" t="s">
        <v>260</v>
      </c>
      <c r="B48" s="153"/>
      <c r="C48" s="150" t="s">
        <v>39</v>
      </c>
      <c r="D48" s="152"/>
      <c r="E48" s="153"/>
      <c r="F48" s="153"/>
      <c r="G48" s="153"/>
      <c r="H48" s="182" t="s">
        <v>38</v>
      </c>
      <c r="I48" s="198">
        <f>PRODUCT(I36,0.1)</f>
        <v>0</v>
      </c>
      <c r="J48" s="153"/>
      <c r="K48" s="153"/>
      <c r="L48" s="153"/>
    </row>
    <row r="49" spans="1:12" x14ac:dyDescent="0.25">
      <c r="B49" s="153"/>
      <c r="C49" s="150" t="s">
        <v>34</v>
      </c>
      <c r="D49" s="153"/>
      <c r="E49" s="153"/>
      <c r="F49" s="153"/>
      <c r="G49" s="153"/>
      <c r="H49" s="182" t="s">
        <v>40</v>
      </c>
      <c r="I49" s="198">
        <f>PRODUCT(I48,0.21)</f>
        <v>0</v>
      </c>
      <c r="J49" s="153"/>
      <c r="K49" s="153"/>
      <c r="L49" s="153"/>
    </row>
    <row r="50" spans="1:12" x14ac:dyDescent="0.25">
      <c r="A50" s="153"/>
      <c r="B50" s="153"/>
      <c r="C50" s="150"/>
      <c r="D50" s="153"/>
      <c r="E50" s="153"/>
      <c r="F50" s="153"/>
      <c r="G50" s="153"/>
      <c r="H50" s="137"/>
      <c r="I50" s="198"/>
      <c r="J50" s="153"/>
      <c r="K50" s="153"/>
      <c r="L50" s="153"/>
    </row>
    <row r="51" spans="1:12" x14ac:dyDescent="0.25">
      <c r="A51" s="209" t="s">
        <v>249</v>
      </c>
      <c r="B51" s="153"/>
      <c r="C51" s="153"/>
      <c r="D51" s="153"/>
      <c r="E51" s="153"/>
      <c r="F51" s="137"/>
      <c r="G51" s="137"/>
      <c r="H51" s="137"/>
      <c r="I51" s="184" t="s">
        <v>24</v>
      </c>
      <c r="J51" s="153"/>
      <c r="K51" s="153"/>
      <c r="L51" s="153"/>
    </row>
    <row r="52" spans="1:12" x14ac:dyDescent="0.25">
      <c r="A52" s="137"/>
      <c r="B52" s="137"/>
      <c r="C52" s="137"/>
      <c r="D52" s="137"/>
      <c r="E52" s="137"/>
      <c r="F52" s="137"/>
      <c r="G52" s="137"/>
      <c r="H52" s="137"/>
      <c r="I52" s="183">
        <f>I45+I46+I47+I48+I49</f>
        <v>0</v>
      </c>
      <c r="J52" s="153"/>
      <c r="K52" s="153"/>
      <c r="L52" s="153"/>
    </row>
    <row r="53" spans="1:12" ht="26.5" x14ac:dyDescent="0.35">
      <c r="A53" s="137"/>
      <c r="B53" s="137"/>
      <c r="C53" s="137"/>
      <c r="D53" s="176" t="s">
        <v>206</v>
      </c>
      <c r="E53" s="137"/>
      <c r="F53" s="137"/>
      <c r="G53" s="137"/>
      <c r="H53" s="185" t="s">
        <v>35</v>
      </c>
      <c r="I53" s="278" t="s">
        <v>299</v>
      </c>
      <c r="J53" s="176" t="s">
        <v>206</v>
      </c>
      <c r="K53" s="176"/>
      <c r="L53" s="176"/>
    </row>
    <row r="54" spans="1:12" ht="15.5" x14ac:dyDescent="0.35">
      <c r="A54" s="137"/>
      <c r="B54" s="137"/>
      <c r="C54" s="137"/>
      <c r="D54" s="205">
        <f>J54</f>
        <v>0</v>
      </c>
      <c r="E54" s="137"/>
      <c r="F54" s="137"/>
      <c r="G54" s="137"/>
      <c r="H54" s="185" t="s">
        <v>36</v>
      </c>
      <c r="I54" s="199">
        <f>IF(B40&lt;5.01,(SUM(I36,I52)),O36)</f>
        <v>0</v>
      </c>
      <c r="J54" s="204">
        <f>IF((I54&gt;0.5),I54/B40,0)</f>
        <v>0</v>
      </c>
      <c r="K54" s="153"/>
      <c r="L54" s="153"/>
    </row>
    <row r="55" spans="1:12" ht="16" thickBot="1" x14ac:dyDescent="0.4">
      <c r="A55" s="186" t="s">
        <v>273</v>
      </c>
      <c r="B55" s="137"/>
      <c r="C55" s="137"/>
      <c r="D55" s="205"/>
      <c r="E55" s="137"/>
      <c r="F55" s="137"/>
      <c r="G55" s="137"/>
      <c r="H55" s="185"/>
      <c r="I55" s="199"/>
      <c r="J55" s="204"/>
      <c r="K55" s="153"/>
      <c r="L55" s="153"/>
    </row>
    <row r="56" spans="1:12" x14ac:dyDescent="0.25">
      <c r="A56" s="289" t="s">
        <v>275</v>
      </c>
      <c r="B56" s="290"/>
      <c r="C56" s="290"/>
      <c r="D56" s="290"/>
      <c r="E56" s="290"/>
      <c r="F56" s="290"/>
      <c r="G56" s="290"/>
      <c r="H56" s="290"/>
      <c r="I56" s="291"/>
      <c r="J56" s="204"/>
      <c r="K56" s="153"/>
      <c r="L56" s="153"/>
    </row>
    <row r="57" spans="1:12" x14ac:dyDescent="0.25">
      <c r="A57" s="292"/>
      <c r="B57" s="293"/>
      <c r="C57" s="293"/>
      <c r="D57" s="293"/>
      <c r="E57" s="293"/>
      <c r="F57" s="293"/>
      <c r="G57" s="293"/>
      <c r="H57" s="293"/>
      <c r="I57" s="294"/>
      <c r="J57" s="204"/>
      <c r="K57" s="153"/>
      <c r="L57" s="153"/>
    </row>
    <row r="58" spans="1:12" x14ac:dyDescent="0.25">
      <c r="A58" s="292"/>
      <c r="B58" s="293"/>
      <c r="C58" s="293"/>
      <c r="D58" s="293"/>
      <c r="E58" s="293"/>
      <c r="F58" s="293"/>
      <c r="G58" s="293"/>
      <c r="H58" s="293"/>
      <c r="I58" s="294"/>
      <c r="J58" s="204"/>
      <c r="K58" s="153"/>
      <c r="L58" s="153"/>
    </row>
    <row r="59" spans="1:12" ht="13" thickBot="1" x14ac:dyDescent="0.3">
      <c r="A59" s="295"/>
      <c r="B59" s="296"/>
      <c r="C59" s="296"/>
      <c r="D59" s="296"/>
      <c r="E59" s="296"/>
      <c r="F59" s="296"/>
      <c r="G59" s="296"/>
      <c r="H59" s="296"/>
      <c r="I59" s="297"/>
      <c r="J59" s="204"/>
      <c r="K59" s="153"/>
      <c r="L59" s="153"/>
    </row>
    <row r="60" spans="1:12" ht="13" x14ac:dyDescent="0.3">
      <c r="A60" s="280" t="s">
        <v>163</v>
      </c>
      <c r="B60" s="280"/>
      <c r="C60" s="280"/>
      <c r="D60" s="280"/>
      <c r="E60" s="280"/>
      <c r="F60" s="280"/>
      <c r="G60" s="280"/>
      <c r="H60" s="280"/>
      <c r="I60" s="280"/>
      <c r="J60" s="153"/>
      <c r="K60" s="153"/>
      <c r="L60" s="153"/>
    </row>
    <row r="61" spans="1:12" x14ac:dyDescent="0.25">
      <c r="A61" s="153" t="s">
        <v>270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</row>
    <row r="62" spans="1:12" x14ac:dyDescent="0.25">
      <c r="A62" s="279" t="s">
        <v>279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</row>
    <row r="63" spans="1:12" x14ac:dyDescent="0.25">
      <c r="A63" s="153" t="s">
        <v>230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</row>
    <row r="64" spans="1:12" x14ac:dyDescent="0.25">
      <c r="A64" s="153" t="s">
        <v>231</v>
      </c>
      <c r="B64" s="153"/>
      <c r="C64" s="153"/>
      <c r="D64" s="153"/>
      <c r="E64" s="153"/>
      <c r="F64" s="153"/>
      <c r="G64" s="153"/>
      <c r="H64" s="153"/>
      <c r="I64" s="153"/>
      <c r="J64" s="186"/>
      <c r="K64" s="153"/>
      <c r="L64" s="153"/>
    </row>
    <row r="65" spans="1:12" x14ac:dyDescent="0.25">
      <c r="A65" s="186"/>
      <c r="B65" s="186"/>
      <c r="C65" s="186"/>
      <c r="D65" s="186"/>
      <c r="E65" s="186"/>
      <c r="F65" s="186"/>
      <c r="G65" s="186"/>
      <c r="H65" s="186"/>
      <c r="I65" s="186"/>
      <c r="J65" s="186"/>
      <c r="K65" s="153"/>
      <c r="L65" s="153"/>
    </row>
    <row r="66" spans="1:12" ht="13" x14ac:dyDescent="0.3">
      <c r="A66" s="153" t="s">
        <v>194</v>
      </c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</row>
    <row r="67" spans="1:12" ht="13" x14ac:dyDescent="0.3">
      <c r="A67" s="279" t="s">
        <v>272</v>
      </c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</row>
    <row r="68" spans="1:12" ht="13" x14ac:dyDescent="0.3">
      <c r="A68" s="153" t="s">
        <v>195</v>
      </c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</row>
    <row r="69" spans="1:12" ht="13" x14ac:dyDescent="0.3">
      <c r="A69" s="153" t="s">
        <v>265</v>
      </c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</row>
    <row r="70" spans="1:12" ht="13" x14ac:dyDescent="0.3">
      <c r="A70" s="153" t="s">
        <v>196</v>
      </c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</row>
    <row r="71" spans="1:12" ht="13" x14ac:dyDescent="0.3">
      <c r="A71" s="153" t="s">
        <v>197</v>
      </c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</row>
    <row r="72" spans="1:12" ht="13" x14ac:dyDescent="0.3">
      <c r="A72" s="153" t="s">
        <v>198</v>
      </c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</row>
    <row r="73" spans="1:12" ht="13" x14ac:dyDescent="0.3">
      <c r="A73" s="153" t="s">
        <v>276</v>
      </c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</row>
    <row r="74" spans="1:12" ht="13" x14ac:dyDescent="0.3">
      <c r="A74" s="153" t="s">
        <v>199</v>
      </c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</row>
    <row r="75" spans="1:12" x14ac:dyDescent="0.25">
      <c r="A75" s="281" t="s">
        <v>277</v>
      </c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</row>
    <row r="76" spans="1:12" x14ac:dyDescent="0.25">
      <c r="A76" s="279" t="s">
        <v>280</v>
      </c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</row>
    <row r="77" spans="1:12" ht="13" x14ac:dyDescent="0.3">
      <c r="A77" s="153" t="s">
        <v>271</v>
      </c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</row>
    <row r="78" spans="1:12" ht="13" x14ac:dyDescent="0.3">
      <c r="A78" s="279" t="s">
        <v>263</v>
      </c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</row>
    <row r="79" spans="1:12" ht="13" x14ac:dyDescent="0.3">
      <c r="A79" s="153" t="s">
        <v>240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</row>
    <row r="80" spans="1:12" ht="13" x14ac:dyDescent="0.3">
      <c r="A80" s="186" t="s">
        <v>242</v>
      </c>
      <c r="B80" s="186"/>
      <c r="C80" s="186"/>
      <c r="D80" s="186"/>
      <c r="E80" s="186"/>
      <c r="F80" s="186"/>
      <c r="G80" s="186"/>
      <c r="H80" s="186"/>
      <c r="I80" s="186"/>
      <c r="J80" s="153"/>
      <c r="K80" s="153"/>
      <c r="L80" s="153"/>
    </row>
    <row r="81" spans="1:12" ht="13" x14ac:dyDescent="0.3">
      <c r="A81" s="186" t="s">
        <v>239</v>
      </c>
      <c r="B81" s="186"/>
      <c r="C81" s="186"/>
      <c r="D81" s="186"/>
      <c r="E81" s="186"/>
      <c r="F81" s="186"/>
      <c r="G81" s="186"/>
      <c r="H81" s="186"/>
      <c r="I81" s="186"/>
      <c r="J81" s="153"/>
      <c r="K81" s="153"/>
      <c r="L81" s="153"/>
    </row>
    <row r="82" spans="1:12" ht="13" x14ac:dyDescent="0.3">
      <c r="A82" s="186" t="s">
        <v>268</v>
      </c>
      <c r="B82" s="186"/>
      <c r="C82" s="186"/>
      <c r="D82" s="186"/>
      <c r="E82" s="186"/>
      <c r="F82" s="186"/>
      <c r="G82" s="186"/>
      <c r="H82" s="186"/>
      <c r="I82" s="186"/>
      <c r="J82" s="153"/>
      <c r="K82" s="153"/>
      <c r="L82" s="153"/>
    </row>
    <row r="83" spans="1:12" ht="13" x14ac:dyDescent="0.3">
      <c r="A83" s="153" t="s">
        <v>243</v>
      </c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</row>
    <row r="84" spans="1:12" ht="13" x14ac:dyDescent="0.3">
      <c r="A84" s="153" t="s">
        <v>232</v>
      </c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</row>
    <row r="85" spans="1:12" ht="13" x14ac:dyDescent="0.3">
      <c r="A85" s="153" t="s">
        <v>267</v>
      </c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3"/>
    </row>
    <row r="86" spans="1:12" ht="13" x14ac:dyDescent="0.3">
      <c r="A86" s="153" t="s">
        <v>269</v>
      </c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153"/>
    </row>
    <row r="87" spans="1:12" ht="13" x14ac:dyDescent="0.3">
      <c r="A87" s="153" t="s">
        <v>234</v>
      </c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</row>
    <row r="88" spans="1:12" ht="13" x14ac:dyDescent="0.3">
      <c r="A88" s="153" t="s">
        <v>235</v>
      </c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</row>
    <row r="89" spans="1:12" ht="13" x14ac:dyDescent="0.3">
      <c r="A89" s="153" t="s">
        <v>233</v>
      </c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</row>
    <row r="90" spans="1:12" x14ac:dyDescent="0.25">
      <c r="A90" s="279" t="s">
        <v>281</v>
      </c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</row>
    <row r="91" spans="1:12" x14ac:dyDescent="0.25">
      <c r="A91" s="279" t="s">
        <v>264</v>
      </c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</row>
    <row r="92" spans="1:12" ht="13" x14ac:dyDescent="0.3">
      <c r="A92" s="153" t="s">
        <v>236</v>
      </c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</row>
    <row r="93" spans="1:12" ht="13" x14ac:dyDescent="0.3">
      <c r="A93" s="279" t="s">
        <v>262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</row>
    <row r="94" spans="1:12" ht="13" x14ac:dyDescent="0.3">
      <c r="A94" s="153" t="s">
        <v>237</v>
      </c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</row>
    <row r="95" spans="1:12" ht="13" x14ac:dyDescent="0.3">
      <c r="A95" s="153" t="s">
        <v>200</v>
      </c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</row>
    <row r="96" spans="1:12" ht="13" x14ac:dyDescent="0.3">
      <c r="A96" s="153" t="s">
        <v>266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</row>
    <row r="97" spans="1:12" ht="13" x14ac:dyDescent="0.3">
      <c r="A97" s="153" t="s">
        <v>238</v>
      </c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</row>
    <row r="98" spans="1:12" ht="13" x14ac:dyDescent="0.3">
      <c r="A98" s="153" t="s">
        <v>241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</row>
    <row r="99" spans="1:12" x14ac:dyDescent="0.25">
      <c r="A99" s="299"/>
      <c r="B99" s="299"/>
      <c r="C99" s="299"/>
      <c r="D99" s="299"/>
      <c r="E99" s="299"/>
      <c r="F99" s="299"/>
      <c r="G99" s="299"/>
      <c r="H99" s="299"/>
      <c r="I99" s="299"/>
      <c r="J99" s="153"/>
      <c r="K99" s="153"/>
      <c r="L99" s="153"/>
    </row>
    <row r="100" spans="1:12" x14ac:dyDescent="0.25">
      <c r="A100" s="299"/>
      <c r="B100" s="299"/>
      <c r="C100" s="299"/>
      <c r="D100" s="299"/>
      <c r="E100" s="299"/>
      <c r="F100" s="299"/>
      <c r="G100" s="299"/>
      <c r="H100" s="299"/>
      <c r="I100" s="299"/>
      <c r="J100" s="153"/>
      <c r="K100" s="153"/>
      <c r="L100" s="153"/>
    </row>
    <row r="101" spans="1:12" x14ac:dyDescent="0.25">
      <c r="A101" s="299"/>
      <c r="B101" s="299"/>
      <c r="C101" s="299"/>
      <c r="D101" s="299"/>
      <c r="E101" s="299"/>
      <c r="F101" s="299"/>
      <c r="G101" s="299"/>
      <c r="H101" s="299"/>
      <c r="I101" s="299"/>
      <c r="J101" s="153"/>
      <c r="K101" s="153"/>
      <c r="L101" s="153"/>
    </row>
    <row r="102" spans="1:12" x14ac:dyDescent="0.25">
      <c r="A102" s="299"/>
      <c r="B102" s="299"/>
      <c r="C102" s="299"/>
      <c r="D102" s="299"/>
      <c r="E102" s="299"/>
      <c r="F102" s="299"/>
      <c r="G102" s="299"/>
      <c r="H102" s="299"/>
      <c r="I102" s="299"/>
      <c r="J102" s="153"/>
      <c r="K102" s="153"/>
      <c r="L102" s="153"/>
    </row>
    <row r="103" spans="1:12" x14ac:dyDescent="0.25">
      <c r="A103" s="299"/>
      <c r="B103" s="299"/>
      <c r="C103" s="299"/>
      <c r="D103" s="299"/>
      <c r="E103" s="299"/>
      <c r="F103" s="299"/>
      <c r="G103" s="299"/>
      <c r="H103" s="299"/>
      <c r="I103" s="299"/>
      <c r="J103" s="153"/>
      <c r="K103" s="153"/>
      <c r="L103" s="153"/>
    </row>
    <row r="104" spans="1:12" x14ac:dyDescent="0.25">
      <c r="A104" s="299"/>
      <c r="B104" s="299"/>
      <c r="C104" s="299"/>
      <c r="D104" s="299"/>
      <c r="E104" s="299"/>
      <c r="F104" s="299"/>
      <c r="G104" s="299"/>
      <c r="H104" s="299"/>
      <c r="I104" s="299"/>
      <c r="J104" s="153"/>
      <c r="K104" s="153"/>
      <c r="L104" s="153"/>
    </row>
    <row r="105" spans="1:12" x14ac:dyDescent="0.25">
      <c r="A105" s="299"/>
      <c r="B105" s="299"/>
      <c r="C105" s="299"/>
      <c r="D105" s="299"/>
      <c r="E105" s="299"/>
      <c r="F105" s="299"/>
      <c r="G105" s="299"/>
      <c r="H105" s="299"/>
      <c r="I105" s="299"/>
      <c r="J105" s="153"/>
      <c r="K105" s="153"/>
      <c r="L105" s="153"/>
    </row>
    <row r="106" spans="1:12" x14ac:dyDescent="0.25">
      <c r="A106" s="299"/>
      <c r="B106" s="299"/>
      <c r="C106" s="299"/>
      <c r="D106" s="299"/>
      <c r="E106" s="299"/>
      <c r="F106" s="299"/>
      <c r="G106" s="299"/>
      <c r="H106" s="299"/>
      <c r="I106" s="299"/>
      <c r="J106" s="153"/>
      <c r="K106" s="153"/>
      <c r="L106" s="153"/>
    </row>
    <row r="107" spans="1:12" x14ac:dyDescent="0.25">
      <c r="A107" s="299"/>
      <c r="B107" s="299"/>
      <c r="C107" s="299"/>
      <c r="D107" s="299"/>
      <c r="E107" s="299"/>
      <c r="F107" s="299"/>
      <c r="G107" s="299"/>
      <c r="H107" s="299"/>
      <c r="I107" s="299"/>
      <c r="J107" s="153"/>
      <c r="K107" s="153"/>
      <c r="L107" s="153"/>
    </row>
    <row r="108" spans="1:12" x14ac:dyDescent="0.25">
      <c r="A108" s="299"/>
      <c r="B108" s="299"/>
      <c r="C108" s="299"/>
      <c r="D108" s="299"/>
      <c r="E108" s="299"/>
      <c r="F108" s="299"/>
      <c r="G108" s="299"/>
      <c r="H108" s="299"/>
      <c r="I108" s="299"/>
      <c r="J108" s="153"/>
      <c r="K108" s="153"/>
      <c r="L108" s="153"/>
    </row>
    <row r="109" spans="1:12" x14ac:dyDescent="0.25">
      <c r="A109" s="300" t="s">
        <v>282</v>
      </c>
      <c r="B109" s="301"/>
      <c r="C109" s="301"/>
      <c r="D109" s="301"/>
      <c r="E109" s="301"/>
      <c r="F109" s="301"/>
      <c r="G109" s="301"/>
      <c r="H109" s="301"/>
      <c r="I109" s="301"/>
      <c r="J109" s="153"/>
      <c r="K109" s="153"/>
      <c r="L109" s="153"/>
    </row>
    <row r="110" spans="1:12" x14ac:dyDescent="0.25">
      <c r="A110" s="298"/>
      <c r="B110" s="298"/>
      <c r="C110" s="298"/>
      <c r="D110" s="298"/>
      <c r="E110" s="298"/>
      <c r="F110" s="298"/>
      <c r="G110" s="298"/>
      <c r="H110" s="298"/>
      <c r="I110" s="298"/>
    </row>
    <row r="111" spans="1:12" x14ac:dyDescent="0.25">
      <c r="A111" s="298"/>
      <c r="B111" s="298"/>
      <c r="C111" s="298"/>
      <c r="D111" s="298"/>
      <c r="E111" s="298"/>
      <c r="F111" s="298"/>
      <c r="G111" s="298"/>
      <c r="H111" s="298"/>
      <c r="I111" s="298"/>
    </row>
    <row r="112" spans="1:12" x14ac:dyDescent="0.25">
      <c r="A112" s="298"/>
      <c r="B112" s="298"/>
      <c r="C112" s="298"/>
      <c r="D112" s="298"/>
      <c r="E112" s="298"/>
      <c r="F112" s="298"/>
      <c r="G112" s="298"/>
      <c r="H112" s="298"/>
      <c r="I112" s="298"/>
    </row>
    <row r="113" spans="1:9" x14ac:dyDescent="0.25">
      <c r="A113" s="298"/>
      <c r="B113" s="298"/>
      <c r="C113" s="298"/>
      <c r="D113" s="298"/>
      <c r="E113" s="298"/>
      <c r="F113" s="298"/>
      <c r="G113" s="298"/>
      <c r="H113" s="298"/>
      <c r="I113" s="298"/>
    </row>
    <row r="114" spans="1:9" x14ac:dyDescent="0.25">
      <c r="A114" s="298"/>
      <c r="B114" s="298"/>
      <c r="C114" s="298"/>
      <c r="D114" s="298"/>
      <c r="E114" s="298"/>
      <c r="F114" s="298"/>
      <c r="G114" s="298"/>
      <c r="H114" s="298"/>
      <c r="I114" s="298"/>
    </row>
    <row r="115" spans="1:9" x14ac:dyDescent="0.25">
      <c r="A115" s="298"/>
      <c r="B115" s="298"/>
      <c r="C115" s="298"/>
      <c r="D115" s="298"/>
      <c r="E115" s="298"/>
      <c r="F115" s="298"/>
      <c r="G115" s="298"/>
      <c r="H115" s="298"/>
      <c r="I115" s="298"/>
    </row>
    <row r="116" spans="1:9" x14ac:dyDescent="0.25">
      <c r="A116" s="298"/>
      <c r="B116" s="298"/>
      <c r="C116" s="298"/>
      <c r="D116" s="298"/>
      <c r="E116" s="298"/>
      <c r="F116" s="298"/>
      <c r="G116" s="298"/>
      <c r="H116" s="298"/>
      <c r="I116" s="298"/>
    </row>
    <row r="117" spans="1:9" x14ac:dyDescent="0.25">
      <c r="A117" s="298"/>
      <c r="B117" s="298"/>
      <c r="C117" s="298"/>
      <c r="D117" s="298"/>
      <c r="E117" s="298"/>
      <c r="F117" s="298"/>
      <c r="G117" s="298"/>
      <c r="H117" s="298"/>
      <c r="I117" s="298"/>
    </row>
    <row r="118" spans="1:9" x14ac:dyDescent="0.25">
      <c r="A118" s="298"/>
      <c r="B118" s="298"/>
      <c r="C118" s="298"/>
      <c r="D118" s="298"/>
      <c r="E118" s="298"/>
      <c r="F118" s="298"/>
      <c r="G118" s="298"/>
      <c r="H118" s="298"/>
      <c r="I118" s="298"/>
    </row>
    <row r="119" spans="1:9" x14ac:dyDescent="0.25">
      <c r="A119" s="298"/>
      <c r="B119" s="298"/>
      <c r="C119" s="298"/>
      <c r="D119" s="298"/>
      <c r="E119" s="298"/>
      <c r="F119" s="298"/>
      <c r="G119" s="298"/>
      <c r="H119" s="298"/>
      <c r="I119" s="298"/>
    </row>
  </sheetData>
  <sheetProtection algorithmName="SHA-512" hashValue="KVNFor41j9ogwejXjee5Tetrc/yvXLHBETXTDU2SOBZ9IWVvEbWp6Ikn5E2O+9UiNyLrZZ/Z6XKZu4QUqSFZbg==" saltValue="vAn15pWfBKZd4EpNZVH26g==" spinCount="100000" sheet="1" objects="1" scenarios="1"/>
  <mergeCells count="23">
    <mergeCell ref="H1:I1"/>
    <mergeCell ref="A99:I99"/>
    <mergeCell ref="A100:I100"/>
    <mergeCell ref="A101:I101"/>
    <mergeCell ref="A102:I102"/>
    <mergeCell ref="A3:I3"/>
    <mergeCell ref="A103:I103"/>
    <mergeCell ref="A104:I104"/>
    <mergeCell ref="A111:I111"/>
    <mergeCell ref="A112:I112"/>
    <mergeCell ref="A105:I105"/>
    <mergeCell ref="A106:I106"/>
    <mergeCell ref="A107:I107"/>
    <mergeCell ref="A108:I108"/>
    <mergeCell ref="A109:I109"/>
    <mergeCell ref="A110:I110"/>
    <mergeCell ref="A117:I117"/>
    <mergeCell ref="A118:I118"/>
    <mergeCell ref="A119:I119"/>
    <mergeCell ref="A113:I113"/>
    <mergeCell ref="A114:I114"/>
    <mergeCell ref="A115:I115"/>
    <mergeCell ref="A116:I116"/>
  </mergeCells>
  <phoneticPr fontId="0" type="noConversion"/>
  <printOptions horizontalCentered="1" verticalCentered="1" gridLines="1"/>
  <pageMargins left="0.75" right="0.75" top="1" bottom="1" header="0.5" footer="0.5"/>
  <pageSetup scale="59" fitToHeight="2" orientation="landscape" r:id="rId1"/>
  <headerFooter alignWithMargins="0">
    <oddHeader>&amp;C&amp;F&amp;R&amp;A</oddHeader>
    <oddFooter>&amp;LBLM&amp;R&amp;D</oddFooter>
  </headerFooter>
  <rowBreaks count="1" manualBreakCount="1">
    <brk id="59" max="8" man="1"/>
  </rowBreaks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B12"/>
  <sheetViews>
    <sheetView view="pageBreakPreview" zoomScale="90" zoomScaleNormal="100" workbookViewId="0">
      <selection activeCell="E5" sqref="E5"/>
    </sheetView>
  </sheetViews>
  <sheetFormatPr defaultColWidth="9.1796875" defaultRowHeight="12.5" x14ac:dyDescent="0.25"/>
  <cols>
    <col min="1" max="6" width="12.7265625" customWidth="1"/>
    <col min="9" max="46" width="12.7265625" customWidth="1"/>
    <col min="48" max="48" width="10" bestFit="1" customWidth="1"/>
    <col min="49" max="49" width="9.453125" bestFit="1" customWidth="1"/>
    <col min="51" max="52" width="9.453125" bestFit="1" customWidth="1"/>
    <col min="54" max="54" width="9.7265625" bestFit="1" customWidth="1"/>
  </cols>
  <sheetData>
    <row r="1" spans="1:54" ht="13" x14ac:dyDescent="0.3">
      <c r="A1" s="310" t="s">
        <v>258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10"/>
      <c r="O1" s="10"/>
      <c r="P1" s="10"/>
      <c r="Q1" s="304" t="s">
        <v>64</v>
      </c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6"/>
      <c r="AC1" s="307" t="s">
        <v>65</v>
      </c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9"/>
      <c r="AO1" s="310" t="s">
        <v>66</v>
      </c>
      <c r="AP1" s="311"/>
      <c r="AQ1" s="311"/>
      <c r="AR1" s="311"/>
      <c r="AS1" s="311"/>
      <c r="AT1" s="311"/>
    </row>
    <row r="2" spans="1:54" ht="13.5" thickBot="1" x14ac:dyDescent="0.35">
      <c r="A2" s="303" t="str">
        <f>'Cost Estimate'!A3:I3</f>
        <v>Enter Project Name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10"/>
      <c r="O2" s="10"/>
      <c r="P2" s="10"/>
      <c r="Q2" s="11"/>
      <c r="R2" s="12"/>
      <c r="S2" s="12"/>
      <c r="T2" s="12"/>
      <c r="U2" s="12"/>
      <c r="V2" s="12"/>
      <c r="W2" s="12"/>
      <c r="X2" s="12"/>
      <c r="Y2" s="12"/>
      <c r="Z2" s="12"/>
      <c r="AA2" s="12"/>
      <c r="AB2" s="13"/>
      <c r="AC2" s="14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6"/>
      <c r="AO2" s="10"/>
      <c r="AP2" s="2"/>
      <c r="AQ2" s="2"/>
      <c r="AR2" s="2"/>
      <c r="AS2" s="2"/>
      <c r="AT2" s="2"/>
    </row>
    <row r="3" spans="1:54" ht="52" x14ac:dyDescent="0.3">
      <c r="A3" s="17" t="s">
        <v>164</v>
      </c>
      <c r="B3" s="17" t="s">
        <v>165</v>
      </c>
      <c r="C3" s="17" t="s">
        <v>217</v>
      </c>
      <c r="D3" s="18" t="s">
        <v>69</v>
      </c>
      <c r="E3" s="17" t="s">
        <v>70</v>
      </c>
      <c r="F3" s="18" t="s">
        <v>71</v>
      </c>
      <c r="G3" s="18" t="s">
        <v>72</v>
      </c>
      <c r="H3" s="20" t="s">
        <v>112</v>
      </c>
      <c r="I3" s="19" t="s">
        <v>73</v>
      </c>
      <c r="J3" s="19" t="s">
        <v>74</v>
      </c>
      <c r="K3" s="19" t="s">
        <v>75</v>
      </c>
      <c r="L3" s="19" t="s">
        <v>76</v>
      </c>
      <c r="M3" s="17" t="s">
        <v>77</v>
      </c>
      <c r="N3" s="17" t="s">
        <v>78</v>
      </c>
      <c r="O3" s="20" t="s">
        <v>79</v>
      </c>
      <c r="P3" s="21" t="s">
        <v>80</v>
      </c>
      <c r="Q3" s="22" t="s">
        <v>81</v>
      </c>
      <c r="R3" s="23" t="s">
        <v>82</v>
      </c>
      <c r="S3" s="24" t="s">
        <v>83</v>
      </c>
      <c r="T3" s="23" t="s">
        <v>84</v>
      </c>
      <c r="U3" s="24" t="s">
        <v>85</v>
      </c>
      <c r="V3" s="24" t="s">
        <v>86</v>
      </c>
      <c r="W3" s="24" t="s">
        <v>87</v>
      </c>
      <c r="X3" s="24" t="s">
        <v>88</v>
      </c>
      <c r="Y3" s="24" t="s">
        <v>89</v>
      </c>
      <c r="Z3" s="25" t="s">
        <v>90</v>
      </c>
      <c r="AA3" s="25" t="s">
        <v>91</v>
      </c>
      <c r="AB3" s="26" t="s">
        <v>92</v>
      </c>
      <c r="AC3" s="22" t="s">
        <v>93</v>
      </c>
      <c r="AD3" s="23" t="s">
        <v>94</v>
      </c>
      <c r="AE3" s="24" t="s">
        <v>95</v>
      </c>
      <c r="AF3" s="23" t="s">
        <v>96</v>
      </c>
      <c r="AG3" s="24" t="s">
        <v>97</v>
      </c>
      <c r="AH3" s="24" t="s">
        <v>98</v>
      </c>
      <c r="AI3" s="24" t="s">
        <v>99</v>
      </c>
      <c r="AJ3" s="24" t="s">
        <v>100</v>
      </c>
      <c r="AK3" s="24" t="s">
        <v>101</v>
      </c>
      <c r="AL3" s="25" t="s">
        <v>90</v>
      </c>
      <c r="AM3" s="25" t="s">
        <v>91</v>
      </c>
      <c r="AN3" s="26" t="s">
        <v>92</v>
      </c>
      <c r="AO3" s="19" t="s">
        <v>102</v>
      </c>
      <c r="AP3" s="19" t="s">
        <v>103</v>
      </c>
      <c r="AQ3" s="20" t="s">
        <v>104</v>
      </c>
      <c r="AR3" s="20" t="s">
        <v>105</v>
      </c>
      <c r="AS3" s="20" t="s">
        <v>106</v>
      </c>
      <c r="AT3" s="19" t="s">
        <v>107</v>
      </c>
      <c r="AV3" s="77" t="s">
        <v>114</v>
      </c>
      <c r="AW3" s="78" t="s">
        <v>116</v>
      </c>
      <c r="AY3" s="77" t="s">
        <v>115</v>
      </c>
      <c r="AZ3" s="78" t="s">
        <v>151</v>
      </c>
      <c r="BB3" s="79" t="s">
        <v>152</v>
      </c>
    </row>
    <row r="4" spans="1:54" x14ac:dyDescent="0.25">
      <c r="A4" s="223" t="s">
        <v>9</v>
      </c>
      <c r="B4" s="74">
        <v>14</v>
      </c>
      <c r="C4" s="147">
        <f>'Cost Estimate'!B6</f>
        <v>0</v>
      </c>
      <c r="D4" s="222">
        <v>0.2</v>
      </c>
      <c r="E4" s="75">
        <v>35.4</v>
      </c>
      <c r="F4" s="76">
        <v>60</v>
      </c>
      <c r="G4" s="80">
        <f>ATAN(D4)</f>
        <v>0.19739555984988078</v>
      </c>
      <c r="H4" s="81"/>
      <c r="I4" s="27">
        <f>DEGREES(G4)</f>
        <v>11.309932474020215</v>
      </c>
      <c r="J4" s="28">
        <f>(B4*C4)/43560</f>
        <v>0</v>
      </c>
      <c r="K4" s="28">
        <f>AP4</f>
        <v>17.655341808984495</v>
      </c>
      <c r="L4" s="28">
        <f>AO4</f>
        <v>18.004986480632496</v>
      </c>
      <c r="M4" s="28">
        <f>(AP4*C4)/43560</f>
        <v>0</v>
      </c>
      <c r="N4" s="28">
        <f>(AO4*C4)/43560</f>
        <v>0</v>
      </c>
      <c r="O4" s="28">
        <f>(((Z4*Z4)*X4*Y4)/(2*V4))/27</f>
        <v>0.25255828874872832</v>
      </c>
      <c r="P4" s="29">
        <f>IF(O4*C4&gt;0,O4*C4*H4,0)</f>
        <v>0</v>
      </c>
      <c r="Q4" s="30">
        <f>RADIANS(I4)</f>
        <v>0.19739555984988078</v>
      </c>
      <c r="R4" s="28">
        <f>E4-I4</f>
        <v>24.090067525979784</v>
      </c>
      <c r="S4" s="31">
        <f>RADIANS(R4)</f>
        <v>0.42045099535611186</v>
      </c>
      <c r="T4" s="28">
        <f>180-E4</f>
        <v>144.6</v>
      </c>
      <c r="U4" s="31">
        <f>RADIANS(T4)</f>
        <v>2.5237460983838003</v>
      </c>
      <c r="V4" s="31">
        <f>SIN(S4)</f>
        <v>0.40817221044882113</v>
      </c>
      <c r="W4" s="31">
        <f>COS(S4)</f>
        <v>0.9129049493881185</v>
      </c>
      <c r="X4" s="31">
        <f>SIN(Q4)</f>
        <v>0.19611613513818404</v>
      </c>
      <c r="Y4" s="31">
        <f>SIN(U4)</f>
        <v>0.57928117234267906</v>
      </c>
      <c r="Z4" s="27">
        <f>B4/2</f>
        <v>7</v>
      </c>
      <c r="AA4" s="27">
        <f>(Z4*X4)/V4</f>
        <v>3.3633180084890149</v>
      </c>
      <c r="AB4" s="32">
        <f>(Z4*Y4)/V4</f>
        <v>9.9344543861522592</v>
      </c>
      <c r="AC4" s="30">
        <f>Q4</f>
        <v>0.19739555984988078</v>
      </c>
      <c r="AD4" s="28">
        <f>F4-I4</f>
        <v>48.690067525979785</v>
      </c>
      <c r="AE4" s="31">
        <f>RADIANS(AD4)</f>
        <v>0.84980199134671697</v>
      </c>
      <c r="AF4" s="28">
        <f>180-F4</f>
        <v>120</v>
      </c>
      <c r="AG4" s="31">
        <f>RADIANS(AF4)</f>
        <v>2.0943951023931953</v>
      </c>
      <c r="AH4" s="31">
        <f>SIN(AE4)</f>
        <v>0.75114970803935477</v>
      </c>
      <c r="AI4" s="31">
        <f>COS(AC4)</f>
        <v>0.98058067569092011</v>
      </c>
      <c r="AJ4" s="31">
        <f>SIN(AC4)</f>
        <v>0.19611613513818404</v>
      </c>
      <c r="AK4" s="31">
        <f>SIN(AG4)</f>
        <v>0.86602540378443871</v>
      </c>
      <c r="AL4" s="27">
        <f>B4/2</f>
        <v>7</v>
      </c>
      <c r="AM4" s="27">
        <f>(AL4*AJ4)/AH4</f>
        <v>1.8276156287813705</v>
      </c>
      <c r="AN4" s="32">
        <f>(AL4*AK4)/AH4</f>
        <v>8.0705320944802352</v>
      </c>
      <c r="AO4" s="28">
        <f>AN4+AB4</f>
        <v>18.004986480632496</v>
      </c>
      <c r="AP4" s="28">
        <f>AO4*AI4</f>
        <v>17.655341808984495</v>
      </c>
      <c r="AQ4" s="31">
        <f>(AO4*C4)/43560</f>
        <v>0</v>
      </c>
      <c r="AR4" s="31">
        <f>(AP4*C4)/43560</f>
        <v>0</v>
      </c>
      <c r="AS4" s="31">
        <f>(((Z4*Z4)*X4*Y4)/(2*V4))/27</f>
        <v>0.25255828874872832</v>
      </c>
      <c r="AT4" s="28">
        <f>AS4*C4</f>
        <v>0</v>
      </c>
      <c r="AV4" s="82">
        <f>IF(D4&lt;0.3,C4,0)</f>
        <v>0</v>
      </c>
      <c r="AW4" s="83">
        <f>IF(AV4&gt;0,P4,0)</f>
        <v>0</v>
      </c>
      <c r="AX4" s="5"/>
      <c r="AY4" s="82">
        <f>IF(D4&gt;0.29,C4,0)</f>
        <v>0</v>
      </c>
      <c r="AZ4" s="83">
        <f>IF(AY4&gt;0,P4,0)</f>
        <v>0</v>
      </c>
      <c r="BB4" s="84">
        <f>IF(AT4&gt;1,1,0)</f>
        <v>0</v>
      </c>
    </row>
    <row r="5" spans="1:54" x14ac:dyDescent="0.25">
      <c r="A5" s="223" t="s">
        <v>11</v>
      </c>
      <c r="B5" s="74">
        <f>B$4</f>
        <v>14</v>
      </c>
      <c r="C5" s="147">
        <f>'Cost Estimate'!B7</f>
        <v>0</v>
      </c>
      <c r="D5" s="222">
        <v>0.4</v>
      </c>
      <c r="E5" s="75">
        <v>35.4</v>
      </c>
      <c r="F5" s="76">
        <v>60</v>
      </c>
      <c r="G5" s="80">
        <f>ATAN(D5)</f>
        <v>0.3805063771123649</v>
      </c>
      <c r="H5" s="224">
        <v>1.2</v>
      </c>
      <c r="I5" s="27">
        <f>DEGREES(G5)</f>
        <v>21.801409486351812</v>
      </c>
      <c r="J5" s="28">
        <f>(B5*C5)/43560</f>
        <v>0</v>
      </c>
      <c r="K5" s="28">
        <f>AP5</f>
        <v>25.115003563665123</v>
      </c>
      <c r="L5" s="28">
        <f>AO5</f>
        <v>27.049686664421415</v>
      </c>
      <c r="M5" s="28">
        <f>(AP5*C5)/43560</f>
        <v>0</v>
      </c>
      <c r="N5" s="28">
        <f>(AO5*C5)/43560</f>
        <v>0</v>
      </c>
      <c r="O5" s="28">
        <f>(((Z5*Z5)*X5*Y5)/(2*V5))/27</f>
        <v>0.83030275174051282</v>
      </c>
      <c r="P5" s="29">
        <f>IF(O5*C5&gt;0,O5*C5*H5,0)</f>
        <v>0</v>
      </c>
      <c r="Q5" s="30">
        <f>RADIANS(I5)</f>
        <v>0.3805063771123649</v>
      </c>
      <c r="R5" s="28">
        <f>E5-I5</f>
        <v>13.598590513648187</v>
      </c>
      <c r="S5" s="31">
        <f>RADIANS(R5)</f>
        <v>0.23734017809362776</v>
      </c>
      <c r="T5" s="28">
        <f>180-E5</f>
        <v>144.6</v>
      </c>
      <c r="U5" s="31">
        <f>RADIANS(T5)</f>
        <v>2.5237460983838003</v>
      </c>
      <c r="V5" s="31">
        <f>SIN(S5)</f>
        <v>0.23511820261820657</v>
      </c>
      <c r="W5" s="31">
        <f>COS(S5)</f>
        <v>0.97196678482218923</v>
      </c>
      <c r="X5" s="31">
        <f>SIN(Q5)</f>
        <v>0.37139067635410372</v>
      </c>
      <c r="Y5" s="31">
        <f>SIN(U5)</f>
        <v>0.57928117234267906</v>
      </c>
      <c r="Z5" s="27">
        <f>B5/2</f>
        <v>7</v>
      </c>
      <c r="AA5" s="27">
        <f>(Z5*X5)/V5</f>
        <v>11.057139368746661</v>
      </c>
      <c r="AB5" s="32">
        <f>(Z5*Y5)/V5</f>
        <v>17.246509037768366</v>
      </c>
      <c r="AC5" s="30">
        <f>Q5</f>
        <v>0.3805063771123649</v>
      </c>
      <c r="AD5" s="28">
        <f>F5-I5</f>
        <v>38.198590513648185</v>
      </c>
      <c r="AE5" s="31">
        <f>RADIANS(AD5)</f>
        <v>0.66669117408423284</v>
      </c>
      <c r="AF5" s="28">
        <f>180-F5</f>
        <v>120</v>
      </c>
      <c r="AG5" s="31">
        <f>RADIANS(AF5)</f>
        <v>2.0943951023931953</v>
      </c>
      <c r="AH5" s="31">
        <f>SIN(AE5)</f>
        <v>0.61838906295129425</v>
      </c>
      <c r="AI5" s="31">
        <f>COS(AC5)</f>
        <v>0.9284766908852593</v>
      </c>
      <c r="AJ5" s="31">
        <f>SIN(AC5)</f>
        <v>0.37139067635410372</v>
      </c>
      <c r="AK5" s="31">
        <f>SIN(AG5)</f>
        <v>0.86602540378443871</v>
      </c>
      <c r="AL5" s="27">
        <f>B5/2</f>
        <v>7</v>
      </c>
      <c r="AM5" s="27">
        <f>(AL5*AJ5)/AH5</f>
        <v>4.2040438459104621</v>
      </c>
      <c r="AN5" s="32">
        <f>(AL5*AK5)/AH5</f>
        <v>9.8031776266530475</v>
      </c>
      <c r="AO5" s="28">
        <f>AN5+AB5</f>
        <v>27.049686664421415</v>
      </c>
      <c r="AP5" s="28">
        <f>AO5*AI5</f>
        <v>25.115003563665123</v>
      </c>
      <c r="AQ5" s="31">
        <f>(AO5*C5)/43560</f>
        <v>0</v>
      </c>
      <c r="AR5" s="31">
        <f>(AP5*C5)/43560</f>
        <v>0</v>
      </c>
      <c r="AS5" s="31">
        <f>(((Z5*Z5)*X5*Y5)/(2*V5))/27</f>
        <v>0.83030275174051282</v>
      </c>
      <c r="AT5" s="28">
        <f>AS5*C5</f>
        <v>0</v>
      </c>
      <c r="AV5" s="82">
        <f>IF(D5&lt;0.3,C5,0)</f>
        <v>0</v>
      </c>
      <c r="AW5" s="83">
        <f>IF(AV5&gt;0,P5,0)</f>
        <v>0</v>
      </c>
      <c r="AX5" s="5"/>
      <c r="AY5" s="82">
        <f>IF(D5&gt;0.29,C5,0)</f>
        <v>0</v>
      </c>
      <c r="AZ5" s="83">
        <f>IF(AY5&gt;0,P5,0)</f>
        <v>0</v>
      </c>
      <c r="BB5" s="84">
        <f>IF(AT5&gt;1,1,0)</f>
        <v>0</v>
      </c>
    </row>
    <row r="6" spans="1:54" x14ac:dyDescent="0.25">
      <c r="A6" s="33"/>
      <c r="B6" s="33"/>
      <c r="C6" s="33"/>
      <c r="D6" s="34"/>
      <c r="E6" s="34"/>
      <c r="F6" s="34"/>
      <c r="G6" s="34"/>
      <c r="H6" s="34"/>
      <c r="I6" s="85"/>
      <c r="J6" s="86"/>
      <c r="K6" s="86"/>
      <c r="L6" s="86"/>
      <c r="M6" s="47"/>
      <c r="N6" s="47"/>
      <c r="O6" s="87"/>
      <c r="P6" s="88"/>
      <c r="Q6" s="89"/>
      <c r="R6" s="35"/>
      <c r="S6" s="36"/>
      <c r="T6" s="35"/>
      <c r="U6" s="36"/>
      <c r="V6" s="36"/>
      <c r="W6" s="36"/>
      <c r="X6" s="36"/>
      <c r="Y6" s="36"/>
      <c r="Z6" s="37"/>
      <c r="AA6" s="37"/>
      <c r="AB6" s="38"/>
      <c r="AC6" s="39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40"/>
      <c r="AO6" s="35"/>
      <c r="AP6" s="90"/>
      <c r="AQ6" s="36"/>
      <c r="AR6" s="36"/>
      <c r="AS6" s="36"/>
      <c r="AT6" s="90"/>
      <c r="AV6" s="52"/>
      <c r="AW6" s="91"/>
      <c r="AY6" s="52"/>
      <c r="AZ6" s="91"/>
      <c r="BB6" s="84"/>
    </row>
    <row r="7" spans="1:54" x14ac:dyDescent="0.25">
      <c r="A7" s="2" t="s">
        <v>63</v>
      </c>
      <c r="B7" s="2"/>
      <c r="C7" s="139">
        <f>SUM(C4:C6)</f>
        <v>0</v>
      </c>
      <c r="D7" s="41"/>
      <c r="E7" s="41"/>
      <c r="F7" s="41"/>
      <c r="G7" s="41"/>
      <c r="H7" s="41"/>
      <c r="I7" s="41"/>
      <c r="J7" s="28"/>
      <c r="K7" s="42"/>
      <c r="L7" s="42"/>
      <c r="M7" s="140">
        <f>SUM(M4:M6)</f>
        <v>0</v>
      </c>
      <c r="N7" s="29">
        <f>SUM(N4:N6)</f>
        <v>0</v>
      </c>
      <c r="O7" s="31"/>
      <c r="P7" s="29">
        <f>SUM(P4:P6)</f>
        <v>0</v>
      </c>
      <c r="Q7" s="92"/>
      <c r="R7" s="47"/>
      <c r="S7" s="87"/>
      <c r="T7" s="47"/>
      <c r="U7" s="87"/>
      <c r="V7" s="87"/>
      <c r="W7" s="87"/>
      <c r="X7" s="87"/>
      <c r="Y7" s="87"/>
      <c r="Z7" s="85"/>
      <c r="AA7" s="85"/>
      <c r="AB7" s="93"/>
      <c r="AC7" s="94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95"/>
      <c r="AO7" s="47"/>
      <c r="AP7" s="86"/>
      <c r="AQ7" s="87"/>
      <c r="AR7" s="87"/>
      <c r="AS7" s="87"/>
      <c r="AT7" s="86"/>
      <c r="AV7" s="96"/>
      <c r="AW7" s="97"/>
      <c r="AX7" s="3"/>
      <c r="AY7" s="96"/>
      <c r="AZ7" s="97"/>
      <c r="BB7" s="98"/>
    </row>
    <row r="8" spans="1:54" ht="13" thickBot="1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V8" s="99">
        <f>SUM(AV4:AV7)</f>
        <v>0</v>
      </c>
      <c r="AW8" s="100">
        <f>SUM(AW4:AW7)</f>
        <v>0</v>
      </c>
      <c r="AX8" s="5"/>
      <c r="AY8" s="99">
        <f>SUM(AY4:AY7)</f>
        <v>0</v>
      </c>
      <c r="AZ8" s="100">
        <f>SUM(AZ4:AZ7)</f>
        <v>0</v>
      </c>
      <c r="BB8" s="101">
        <f>SUM(BB4:BB7)</f>
        <v>0</v>
      </c>
    </row>
    <row r="9" spans="1:54" x14ac:dyDescent="0.25">
      <c r="A9" t="s">
        <v>166</v>
      </c>
      <c r="AZ9" s="58"/>
    </row>
    <row r="10" spans="1:54" x14ac:dyDescent="0.25">
      <c r="A10" s="102" t="s">
        <v>167</v>
      </c>
      <c r="AZ10" s="58"/>
    </row>
    <row r="11" spans="1:54" x14ac:dyDescent="0.25">
      <c r="A11" s="103" t="s">
        <v>168</v>
      </c>
      <c r="AZ11" s="58"/>
    </row>
    <row r="12" spans="1:54" x14ac:dyDescent="0.25">
      <c r="A12" s="5" t="s">
        <v>169</v>
      </c>
    </row>
  </sheetData>
  <sheetProtection password="DD80" sheet="1" objects="1" scenarios="1"/>
  <mergeCells count="5">
    <mergeCell ref="A2:M2"/>
    <mergeCell ref="Q1:AB1"/>
    <mergeCell ref="AC1:AN1"/>
    <mergeCell ref="AO1:AT1"/>
    <mergeCell ref="A1:M1"/>
  </mergeCells>
  <phoneticPr fontId="17" type="noConversion"/>
  <printOptions horizontalCentered="1" verticalCentered="1" gridLines="1"/>
  <pageMargins left="0.5" right="0.5" top="1" bottom="1" header="0.5" footer="0.5"/>
  <pageSetup scale="60" fitToWidth="4" orientation="landscape" r:id="rId1"/>
  <headerFooter alignWithMargins="0">
    <oddHeader>&amp;C&amp;Z&amp;F&amp;R&amp;A</oddHeader>
    <oddFooter>&amp;LBLM Elko, Bergwall&amp;C&amp;P of &amp;N&amp;R&amp;D</oddFooter>
  </headerFooter>
  <colBreaks count="3" manualBreakCount="3">
    <brk id="16" max="1048575" man="1"/>
    <brk id="28" max="1048575" man="1"/>
    <brk id="4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E12"/>
  <sheetViews>
    <sheetView view="pageBreakPreview" zoomScale="90" zoomScaleNormal="100" workbookViewId="0">
      <selection activeCell="E5" sqref="E5"/>
    </sheetView>
  </sheetViews>
  <sheetFormatPr defaultRowHeight="12.5" x14ac:dyDescent="0.25"/>
  <cols>
    <col min="1" max="1" width="13.81640625" customWidth="1"/>
    <col min="2" max="2" width="10.26953125" customWidth="1"/>
    <col min="3" max="3" width="10.81640625" customWidth="1"/>
    <col min="4" max="4" width="10.453125" customWidth="1"/>
    <col min="5" max="5" width="9.7265625" customWidth="1"/>
    <col min="7" max="7" width="12" customWidth="1"/>
    <col min="8" max="9" width="12.7265625" customWidth="1"/>
    <col min="10" max="10" width="10.1796875" customWidth="1"/>
    <col min="11" max="45" width="12.7265625" customWidth="1"/>
    <col min="49" max="49" width="12" customWidth="1"/>
    <col min="50" max="50" width="12.7265625" customWidth="1"/>
    <col min="52" max="52" width="12.453125" customWidth="1"/>
    <col min="53" max="53" width="13.54296875" bestFit="1" customWidth="1"/>
  </cols>
  <sheetData>
    <row r="1" spans="1:57" ht="29.25" customHeight="1" x14ac:dyDescent="0.3">
      <c r="A1" s="313" t="s">
        <v>256</v>
      </c>
      <c r="B1" s="313"/>
      <c r="C1" s="313"/>
      <c r="D1" s="313"/>
      <c r="E1" s="313"/>
      <c r="F1" s="313"/>
      <c r="G1" s="313"/>
      <c r="H1" s="313"/>
      <c r="I1" s="313"/>
      <c r="J1" s="313"/>
      <c r="K1" s="10"/>
      <c r="L1" s="10"/>
      <c r="M1" s="10"/>
      <c r="N1" s="10"/>
      <c r="O1" s="10"/>
      <c r="P1" s="304" t="s">
        <v>64</v>
      </c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6"/>
      <c r="AB1" s="307" t="s">
        <v>65</v>
      </c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9"/>
      <c r="AN1" s="310" t="s">
        <v>66</v>
      </c>
      <c r="AO1" s="311"/>
      <c r="AP1" s="311"/>
      <c r="AQ1" s="311"/>
      <c r="AR1" s="311"/>
      <c r="AS1" s="311"/>
    </row>
    <row r="2" spans="1:57" ht="33" customHeight="1" x14ac:dyDescent="0.3">
      <c r="A2" s="312" t="str">
        <f>'Cost Estimate'!A3:I3</f>
        <v>Enter Project Name</v>
      </c>
      <c r="B2" s="312"/>
      <c r="C2" s="312"/>
      <c r="D2" s="312"/>
      <c r="E2" s="312"/>
      <c r="F2" s="312"/>
      <c r="G2" s="312"/>
      <c r="H2" s="312"/>
      <c r="I2" s="312"/>
      <c r="J2" s="312"/>
      <c r="K2" s="10"/>
      <c r="L2" s="10"/>
      <c r="M2" s="10"/>
      <c r="N2" s="10"/>
      <c r="O2" s="10"/>
      <c r="P2" s="11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  <c r="AB2" s="14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6"/>
      <c r="AN2" s="10"/>
      <c r="AO2" s="2"/>
      <c r="AP2" s="2"/>
      <c r="AQ2" s="2"/>
      <c r="AR2" s="2"/>
      <c r="AS2" s="2"/>
    </row>
    <row r="3" spans="1:57" ht="78" x14ac:dyDescent="0.3">
      <c r="A3" s="17" t="s">
        <v>257</v>
      </c>
      <c r="B3" s="17" t="s">
        <v>67</v>
      </c>
      <c r="C3" s="17" t="s">
        <v>68</v>
      </c>
      <c r="D3" s="17" t="s">
        <v>170</v>
      </c>
      <c r="E3" s="18" t="s">
        <v>69</v>
      </c>
      <c r="F3" s="17" t="s">
        <v>70</v>
      </c>
      <c r="G3" s="18" t="s">
        <v>174</v>
      </c>
      <c r="H3" s="18" t="s">
        <v>72</v>
      </c>
      <c r="I3" s="18" t="s">
        <v>112</v>
      </c>
      <c r="J3" s="19" t="s">
        <v>73</v>
      </c>
      <c r="K3" s="19" t="s">
        <v>173</v>
      </c>
      <c r="L3" s="19" t="s">
        <v>75</v>
      </c>
      <c r="M3" s="19" t="s">
        <v>76</v>
      </c>
      <c r="N3" s="17" t="s">
        <v>77</v>
      </c>
      <c r="O3" s="17" t="s">
        <v>78</v>
      </c>
      <c r="P3" s="20" t="s">
        <v>79</v>
      </c>
      <c r="Q3" s="21" t="s">
        <v>80</v>
      </c>
      <c r="R3" s="22" t="s">
        <v>81</v>
      </c>
      <c r="S3" s="23" t="s">
        <v>82</v>
      </c>
      <c r="T3" s="24" t="s">
        <v>83</v>
      </c>
      <c r="U3" s="23" t="s">
        <v>84</v>
      </c>
      <c r="V3" s="24" t="s">
        <v>85</v>
      </c>
      <c r="W3" s="24" t="s">
        <v>86</v>
      </c>
      <c r="X3" s="24" t="s">
        <v>87</v>
      </c>
      <c r="Y3" s="24" t="s">
        <v>88</v>
      </c>
      <c r="Z3" s="24" t="s">
        <v>89</v>
      </c>
      <c r="AA3" s="25" t="s">
        <v>90</v>
      </c>
      <c r="AB3" s="25" t="s">
        <v>91</v>
      </c>
      <c r="AC3" s="26" t="s">
        <v>92</v>
      </c>
      <c r="AD3" s="22" t="s">
        <v>93</v>
      </c>
      <c r="AE3" s="23" t="s">
        <v>94</v>
      </c>
      <c r="AF3" s="24" t="s">
        <v>95</v>
      </c>
      <c r="AG3" s="23" t="s">
        <v>96</v>
      </c>
      <c r="AH3" s="24" t="s">
        <v>97</v>
      </c>
      <c r="AI3" s="24" t="s">
        <v>98</v>
      </c>
      <c r="AJ3" s="24" t="s">
        <v>99</v>
      </c>
      <c r="AK3" s="24" t="s">
        <v>100</v>
      </c>
      <c r="AL3" s="24" t="s">
        <v>101</v>
      </c>
      <c r="AM3" s="25" t="s">
        <v>90</v>
      </c>
      <c r="AN3" s="25" t="s">
        <v>91</v>
      </c>
      <c r="AO3" s="26" t="s">
        <v>92</v>
      </c>
      <c r="AP3" s="19" t="s">
        <v>171</v>
      </c>
      <c r="AQ3" s="19" t="s">
        <v>172</v>
      </c>
      <c r="AR3" s="20" t="s">
        <v>104</v>
      </c>
      <c r="AS3" s="20" t="s">
        <v>105</v>
      </c>
      <c r="AT3" s="20" t="s">
        <v>106</v>
      </c>
      <c r="AU3" s="19" t="s">
        <v>107</v>
      </c>
      <c r="AY3" s="20"/>
      <c r="AZ3" s="20"/>
      <c r="BB3" s="20"/>
      <c r="BC3" s="20"/>
      <c r="BE3" s="20"/>
    </row>
    <row r="4" spans="1:57" x14ac:dyDescent="0.25">
      <c r="A4" s="218" t="s">
        <v>9</v>
      </c>
      <c r="B4" s="221">
        <v>30</v>
      </c>
      <c r="C4" s="221">
        <v>70</v>
      </c>
      <c r="D4" s="132">
        <f>'Cost Estimate'!B10</f>
        <v>0</v>
      </c>
      <c r="E4" s="222">
        <v>0.2</v>
      </c>
      <c r="F4" s="104" t="s">
        <v>135</v>
      </c>
      <c r="G4" s="105">
        <v>60</v>
      </c>
      <c r="H4" s="55">
        <f>ATAN(E4)</f>
        <v>0.19739555984988078</v>
      </c>
      <c r="I4" s="106">
        <v>1.2</v>
      </c>
      <c r="J4" s="27">
        <f>DEGREES(H4)</f>
        <v>11.309932474020215</v>
      </c>
      <c r="K4" s="28">
        <f>(B4*C4*D4)/43560</f>
        <v>0</v>
      </c>
      <c r="L4" s="28">
        <f>AQ4</f>
        <v>37.955670177050933</v>
      </c>
      <c r="M4" s="28">
        <f>AP4</f>
        <v>38.707340576854889</v>
      </c>
      <c r="N4" s="28">
        <f>(AQ4*C4*D4)/43560</f>
        <v>0</v>
      </c>
      <c r="O4" s="28">
        <f>(AP4*C4*D4)/43560</f>
        <v>0</v>
      </c>
      <c r="P4" s="28">
        <f>(((AA4*AA4)*Y4*Z4)/(2*W4))/27</f>
        <v>1.1665283652658438</v>
      </c>
      <c r="Q4" s="29">
        <f>IF(P4*C4&gt;0,P4*C4,0)</f>
        <v>81.656985568609059</v>
      </c>
      <c r="R4" s="30">
        <f>RADIANS(J4)</f>
        <v>0.19739555984988078</v>
      </c>
      <c r="S4" s="28">
        <f>F4-J4</f>
        <v>23.690067525979785</v>
      </c>
      <c r="T4" s="31">
        <f>RADIANS(S4)</f>
        <v>0.41346967834813453</v>
      </c>
      <c r="U4" s="28">
        <f>180-F4</f>
        <v>145</v>
      </c>
      <c r="V4" s="31">
        <f>RADIANS(U4)</f>
        <v>2.530727415391778</v>
      </c>
      <c r="W4" s="31">
        <f>SIN(T4)</f>
        <v>0.40178903650099917</v>
      </c>
      <c r="X4" s="31">
        <f>COS(T4)</f>
        <v>0.91573225898599797</v>
      </c>
      <c r="Y4" s="31">
        <f>SIN(R4)</f>
        <v>0.19611613513818404</v>
      </c>
      <c r="Z4" s="31">
        <f>SIN(V4)</f>
        <v>0.57357643635104594</v>
      </c>
      <c r="AA4" s="27">
        <f>B4/2</f>
        <v>15</v>
      </c>
      <c r="AB4" s="27">
        <f>(AA4*Y4)/W4</f>
        <v>7.3216085055258722</v>
      </c>
      <c r="AC4" s="32">
        <f>(AA4*Z4)/W4</f>
        <v>21.413343231540104</v>
      </c>
      <c r="AD4" s="30">
        <f>R4</f>
        <v>0.19739555984988078</v>
      </c>
      <c r="AE4" s="28">
        <f>G4-J4</f>
        <v>48.690067525979785</v>
      </c>
      <c r="AF4" s="31">
        <f>RADIANS(AE4)</f>
        <v>0.84980199134671697</v>
      </c>
      <c r="AG4" s="28">
        <f>180-G4</f>
        <v>120</v>
      </c>
      <c r="AH4" s="31">
        <f>RADIANS(AG4)</f>
        <v>2.0943951023931953</v>
      </c>
      <c r="AI4" s="31">
        <f>SIN(AF4)</f>
        <v>0.75114970803935477</v>
      </c>
      <c r="AJ4" s="31">
        <f>COS(AD4)</f>
        <v>0.98058067569092011</v>
      </c>
      <c r="AK4" s="31">
        <f>SIN(AD4)</f>
        <v>0.19611613513818404</v>
      </c>
      <c r="AL4" s="31">
        <f>SIN(AH4)</f>
        <v>0.86602540378443871</v>
      </c>
      <c r="AM4" s="27">
        <f>B4/2</f>
        <v>15</v>
      </c>
      <c r="AN4" s="27">
        <f>(AM4*AK4)/AI4</f>
        <v>3.9163192045315083</v>
      </c>
      <c r="AO4" s="32">
        <f>(AM4*AL4)/AI4</f>
        <v>17.293997345314789</v>
      </c>
      <c r="AP4" s="28">
        <f>AO4+AC4</f>
        <v>38.707340576854889</v>
      </c>
      <c r="AQ4" s="28">
        <f>AP4*AJ4</f>
        <v>37.955670177050933</v>
      </c>
      <c r="AR4" s="31">
        <f>(AP4*C4*D4)/43560</f>
        <v>0</v>
      </c>
      <c r="AS4" s="31">
        <f>(AQ4*C4*D4)/43560</f>
        <v>0</v>
      </c>
      <c r="AT4" s="31">
        <f>(((AA4*AA4)*Y4*Z4)/(2*W4))/27</f>
        <v>1.1665283652658438</v>
      </c>
      <c r="AU4" s="28">
        <f>AT4*C4*D4</f>
        <v>0</v>
      </c>
      <c r="AY4" s="142"/>
      <c r="AZ4" s="119"/>
      <c r="BA4" s="5"/>
      <c r="BB4" s="143"/>
      <c r="BC4" s="119"/>
      <c r="BE4" s="58"/>
    </row>
    <row r="5" spans="1:57" x14ac:dyDescent="0.25">
      <c r="A5" s="218" t="s">
        <v>11</v>
      </c>
      <c r="B5" s="221">
        <v>30</v>
      </c>
      <c r="C5" s="221">
        <v>80</v>
      </c>
      <c r="D5" s="132">
        <f>'Cost Estimate'!B11</f>
        <v>0</v>
      </c>
      <c r="E5" s="222">
        <v>0.4</v>
      </c>
      <c r="F5" s="104" t="s">
        <v>135</v>
      </c>
      <c r="G5" s="105">
        <v>60</v>
      </c>
      <c r="H5" s="55">
        <f>ATAN(E5)</f>
        <v>0.3805063771123649</v>
      </c>
      <c r="I5" s="106">
        <v>1.2</v>
      </c>
      <c r="J5" s="27">
        <f>DEGREES(H5)</f>
        <v>21.801409486351812</v>
      </c>
      <c r="K5" s="28">
        <f>(B5*C5*D5)/43560</f>
        <v>0</v>
      </c>
      <c r="L5" s="28">
        <f>AQ5</f>
        <v>54.490506376362283</v>
      </c>
      <c r="M5" s="28">
        <f>AP5</f>
        <v>58.688071452184893</v>
      </c>
      <c r="N5" s="28">
        <f>(AQ5*C5*D5)/43560</f>
        <v>0</v>
      </c>
      <c r="O5" s="28">
        <f>(AP5*C5*D5)/43560</f>
        <v>0</v>
      </c>
      <c r="P5" s="28">
        <f>(((AA5*AA5)*Y5*Z5)/(2*W5))/27</f>
        <v>3.8873526315905953</v>
      </c>
      <c r="Q5" s="29">
        <f>IF(P5*C5&gt;0,P5*C5,0)</f>
        <v>310.98821052724765</v>
      </c>
      <c r="R5" s="30">
        <f>RADIANS(J5)</f>
        <v>0.3805063771123649</v>
      </c>
      <c r="S5" s="28">
        <f>F5-J5</f>
        <v>13.198590513648188</v>
      </c>
      <c r="T5" s="31">
        <f>RADIANS(S5)</f>
        <v>0.23035886108565046</v>
      </c>
      <c r="U5" s="28">
        <f>180-F5</f>
        <v>145</v>
      </c>
      <c r="V5" s="31">
        <f>RADIANS(U5)</f>
        <v>2.530727415391778</v>
      </c>
      <c r="W5" s="31">
        <f>SIN(T5)</f>
        <v>0.22832691982764344</v>
      </c>
      <c r="X5" s="31">
        <f>COS(T5)</f>
        <v>0.97358452005052998</v>
      </c>
      <c r="Y5" s="31">
        <f>SIN(R5)</f>
        <v>0.37139067635410372</v>
      </c>
      <c r="Z5" s="31">
        <f>SIN(V5)</f>
        <v>0.57357643635104594</v>
      </c>
      <c r="AA5" s="27">
        <f>B5/2</f>
        <v>15</v>
      </c>
      <c r="AB5" s="27">
        <f>(AA5*Y5)/W5</f>
        <v>24.398612960385123</v>
      </c>
      <c r="AC5" s="32">
        <f>(AA5*Z5)/W5</f>
        <v>37.681262252214076</v>
      </c>
      <c r="AD5" s="30">
        <f>R5</f>
        <v>0.3805063771123649</v>
      </c>
      <c r="AE5" s="28">
        <f>G5-J5</f>
        <v>38.198590513648185</v>
      </c>
      <c r="AF5" s="31">
        <f>RADIANS(AE5)</f>
        <v>0.66669117408423284</v>
      </c>
      <c r="AG5" s="28">
        <f>180-G5</f>
        <v>120</v>
      </c>
      <c r="AH5" s="31">
        <f>RADIANS(AG5)</f>
        <v>2.0943951023931953</v>
      </c>
      <c r="AI5" s="31">
        <f>SIN(AF5)</f>
        <v>0.61838906295129425</v>
      </c>
      <c r="AJ5" s="31">
        <f>COS(AD5)</f>
        <v>0.9284766908852593</v>
      </c>
      <c r="AK5" s="31">
        <f>SIN(AD5)</f>
        <v>0.37139067635410372</v>
      </c>
      <c r="AL5" s="31">
        <f>SIN(AH5)</f>
        <v>0.86602540378443871</v>
      </c>
      <c r="AM5" s="27">
        <f>B5/2</f>
        <v>15</v>
      </c>
      <c r="AN5" s="27">
        <f>(AM5*AK5)/AI5</f>
        <v>9.0086653840938489</v>
      </c>
      <c r="AO5" s="32">
        <f>(AM5*AL5)/AI5</f>
        <v>21.006809199970817</v>
      </c>
      <c r="AP5" s="28">
        <f>AO5+AC5</f>
        <v>58.688071452184893</v>
      </c>
      <c r="AQ5" s="28">
        <f>AP5*AJ5</f>
        <v>54.490506376362283</v>
      </c>
      <c r="AR5" s="31">
        <f>(AP5*C5*D5)/43560</f>
        <v>0</v>
      </c>
      <c r="AS5" s="31">
        <f>(AQ5*C5*D5)/43560</f>
        <v>0</v>
      </c>
      <c r="AT5" s="31">
        <f>(((AA5*AA5)*Y5*Z5)/(2*W5))/27</f>
        <v>3.8873526315905953</v>
      </c>
      <c r="AU5" s="28">
        <f>AT5*C5*D5</f>
        <v>0</v>
      </c>
      <c r="AY5" s="142"/>
      <c r="AZ5" s="119"/>
      <c r="BA5" s="5"/>
      <c r="BB5" s="143"/>
      <c r="BC5" s="119"/>
      <c r="BE5" s="58"/>
    </row>
    <row r="6" spans="1:57" x14ac:dyDescent="0.25">
      <c r="A6" s="218" t="s">
        <v>216</v>
      </c>
      <c r="B6" s="221">
        <v>30</v>
      </c>
      <c r="C6" s="221">
        <v>70</v>
      </c>
      <c r="D6" s="132">
        <f>'Cost Estimate'!B12</f>
        <v>0</v>
      </c>
      <c r="E6" s="222">
        <v>0</v>
      </c>
      <c r="F6" s="104" t="s">
        <v>135</v>
      </c>
      <c r="G6" s="105">
        <v>60</v>
      </c>
      <c r="H6" s="55">
        <f>ATAN(E6)</f>
        <v>0</v>
      </c>
      <c r="I6" s="106">
        <v>1.2</v>
      </c>
      <c r="J6" s="27">
        <f>DEGREES(H6)</f>
        <v>0</v>
      </c>
      <c r="K6" s="28">
        <f>(B6*C6*D6)/43560</f>
        <v>0</v>
      </c>
      <c r="L6" s="28">
        <f>AQ6</f>
        <v>30</v>
      </c>
      <c r="M6" s="28">
        <f>AP6</f>
        <v>30</v>
      </c>
      <c r="N6" s="28">
        <f>(AQ6*C6*D6)/43560</f>
        <v>0</v>
      </c>
      <c r="O6" s="28">
        <f>(AP6*C6*D6)/43560</f>
        <v>0</v>
      </c>
      <c r="P6" s="28">
        <f>(((AA6*AA6)*Y6*Z6)/(2*W6))/27</f>
        <v>0</v>
      </c>
      <c r="Q6" s="29">
        <f>IF(P6*C6&gt;0,P6*C6,0)</f>
        <v>0</v>
      </c>
      <c r="R6" s="30">
        <f>RADIANS(J6)</f>
        <v>0</v>
      </c>
      <c r="S6" s="28">
        <f>F6-J6</f>
        <v>35</v>
      </c>
      <c r="T6" s="31">
        <f>RADIANS(S6)</f>
        <v>0.6108652381980153</v>
      </c>
      <c r="U6" s="28">
        <f>180-F6</f>
        <v>145</v>
      </c>
      <c r="V6" s="31">
        <f>RADIANS(U6)</f>
        <v>2.530727415391778</v>
      </c>
      <c r="W6" s="31">
        <f>SIN(T6)</f>
        <v>0.57357643635104605</v>
      </c>
      <c r="X6" s="31">
        <f>COS(T6)</f>
        <v>0.8191520442889918</v>
      </c>
      <c r="Y6" s="31">
        <f>SIN(R6)</f>
        <v>0</v>
      </c>
      <c r="Z6" s="31">
        <f>SIN(V6)</f>
        <v>0.57357643635104594</v>
      </c>
      <c r="AA6" s="27">
        <f>B6/2</f>
        <v>15</v>
      </c>
      <c r="AB6" s="27">
        <f>(AA6*Y6)/W6</f>
        <v>0</v>
      </c>
      <c r="AC6" s="32">
        <f>(AA6*Z6)/W6</f>
        <v>14.999999999999998</v>
      </c>
      <c r="AD6" s="30">
        <f>R6</f>
        <v>0</v>
      </c>
      <c r="AE6" s="28">
        <f>G6-J6</f>
        <v>60</v>
      </c>
      <c r="AF6" s="31">
        <f>RADIANS(AE6)</f>
        <v>1.0471975511965976</v>
      </c>
      <c r="AG6" s="28">
        <f>180-G6</f>
        <v>120</v>
      </c>
      <c r="AH6" s="31">
        <f>RADIANS(AG6)</f>
        <v>2.0943951023931953</v>
      </c>
      <c r="AI6" s="31">
        <f>SIN(AF6)</f>
        <v>0.8660254037844386</v>
      </c>
      <c r="AJ6" s="31">
        <f>COS(AD6)</f>
        <v>1</v>
      </c>
      <c r="AK6" s="31">
        <f>SIN(AD6)</f>
        <v>0</v>
      </c>
      <c r="AL6" s="31">
        <f>SIN(AH6)</f>
        <v>0.86602540378443871</v>
      </c>
      <c r="AM6" s="27">
        <f>B6/2</f>
        <v>15</v>
      </c>
      <c r="AN6" s="27">
        <f>(AM6*AK6)/AI6</f>
        <v>0</v>
      </c>
      <c r="AO6" s="32">
        <f>(AM6*AL6)/AI6</f>
        <v>15.000000000000002</v>
      </c>
      <c r="AP6" s="28">
        <f>AO6+AC6</f>
        <v>30</v>
      </c>
      <c r="AQ6" s="28">
        <f>AP6*AJ6</f>
        <v>30</v>
      </c>
      <c r="AR6" s="31">
        <f>(AP6*C6*D6)/43560</f>
        <v>0</v>
      </c>
      <c r="AS6" s="31">
        <f>(AQ6*C6*D6)/43560</f>
        <v>0</v>
      </c>
      <c r="AT6" s="31">
        <f>(((AA6*AA6)*Y6*Z6)/(2*W6))/27</f>
        <v>0</v>
      </c>
      <c r="AU6" s="28">
        <f>AT6*C6*D6</f>
        <v>0</v>
      </c>
      <c r="AY6" s="142"/>
      <c r="AZ6" s="119"/>
      <c r="BA6" s="5"/>
      <c r="BB6" s="143"/>
      <c r="BC6" s="119"/>
      <c r="BE6" s="58"/>
    </row>
    <row r="7" spans="1:57" x14ac:dyDescent="0.25">
      <c r="A7" s="57"/>
      <c r="B7" s="128"/>
      <c r="C7" s="129"/>
      <c r="D7" s="133"/>
      <c r="E7" s="107"/>
      <c r="F7" s="108"/>
      <c r="G7" s="109"/>
      <c r="H7" s="110"/>
      <c r="I7" s="111"/>
      <c r="J7" s="112"/>
      <c r="K7" s="113"/>
      <c r="L7" s="113"/>
      <c r="M7" s="113"/>
      <c r="N7" s="113"/>
      <c r="O7" s="113"/>
      <c r="P7" s="113"/>
      <c r="Q7" s="114"/>
      <c r="R7" s="115"/>
      <c r="S7" s="113"/>
      <c r="T7" s="116"/>
      <c r="U7" s="113"/>
      <c r="V7" s="116"/>
      <c r="W7" s="116"/>
      <c r="X7" s="116"/>
      <c r="Y7" s="116"/>
      <c r="Z7" s="116"/>
      <c r="AA7" s="112"/>
      <c r="AB7" s="112"/>
      <c r="AC7" s="117"/>
      <c r="AD7" s="115"/>
      <c r="AE7" s="113"/>
      <c r="AF7" s="116"/>
      <c r="AG7" s="113"/>
      <c r="AH7" s="116"/>
      <c r="AI7" s="116"/>
      <c r="AJ7" s="116"/>
      <c r="AK7" s="116"/>
      <c r="AL7" s="116"/>
      <c r="AM7" s="112"/>
      <c r="AN7" s="112"/>
      <c r="AO7" s="117"/>
      <c r="AP7" s="113"/>
      <c r="AQ7" s="113"/>
      <c r="AR7" s="116"/>
      <c r="AS7" s="116"/>
      <c r="AT7" s="116"/>
      <c r="AU7" s="113"/>
      <c r="AV7" s="3"/>
      <c r="AW7" s="3"/>
      <c r="AX7" s="3"/>
      <c r="AY7" s="142"/>
      <c r="AZ7" s="119"/>
      <c r="BA7" s="5"/>
      <c r="BB7" s="143"/>
      <c r="BC7" s="119"/>
      <c r="BE7" s="58"/>
    </row>
    <row r="8" spans="1:57" x14ac:dyDescent="0.25">
      <c r="A8" s="2" t="s">
        <v>63</v>
      </c>
      <c r="B8" s="2"/>
      <c r="C8" s="41"/>
      <c r="D8" s="8">
        <f>SUM(D4:D7)</f>
        <v>0</v>
      </c>
      <c r="E8" s="41"/>
      <c r="F8" s="41"/>
      <c r="G8" s="41"/>
      <c r="H8" s="41"/>
      <c r="I8" s="28"/>
      <c r="J8" s="42"/>
      <c r="K8" s="42"/>
      <c r="L8" s="29"/>
      <c r="M8" s="29"/>
      <c r="N8" s="28">
        <f>SUM(N4:N7)</f>
        <v>0</v>
      </c>
      <c r="O8" s="28">
        <f>SUM(O4:O7)</f>
        <v>0</v>
      </c>
      <c r="P8" s="36"/>
      <c r="Q8" s="35"/>
      <c r="R8" s="36"/>
      <c r="S8" s="35"/>
      <c r="T8" s="36"/>
      <c r="U8" s="36"/>
      <c r="V8" s="36"/>
      <c r="W8" s="36"/>
      <c r="X8" s="36"/>
      <c r="Y8" s="37"/>
      <c r="Z8" s="37"/>
      <c r="AA8" s="38"/>
      <c r="AB8" s="39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40"/>
      <c r="AN8" s="35"/>
      <c r="AO8" s="90"/>
      <c r="AP8" s="36"/>
      <c r="AQ8" s="36"/>
      <c r="AR8" s="36"/>
      <c r="AS8" s="90"/>
      <c r="AW8" s="52"/>
      <c r="AX8" s="66"/>
      <c r="AZ8" s="144"/>
      <c r="BA8" s="66"/>
      <c r="BC8" s="145"/>
      <c r="BE8" s="146"/>
    </row>
    <row r="9" spans="1:57" x14ac:dyDescent="0.25">
      <c r="A9" t="s">
        <v>166</v>
      </c>
      <c r="AW9" s="118"/>
      <c r="AX9" s="119"/>
      <c r="AY9" s="5"/>
      <c r="AZ9" s="118"/>
      <c r="BA9" s="119"/>
      <c r="BC9" s="58"/>
    </row>
    <row r="10" spans="1:57" x14ac:dyDescent="0.25">
      <c r="A10" s="102" t="s">
        <v>167</v>
      </c>
    </row>
    <row r="11" spans="1:57" x14ac:dyDescent="0.25">
      <c r="A11" s="103" t="s">
        <v>168</v>
      </c>
    </row>
    <row r="12" spans="1:57" x14ac:dyDescent="0.25">
      <c r="A12" s="5" t="s">
        <v>169</v>
      </c>
    </row>
  </sheetData>
  <sheetProtection password="DD80" sheet="1"/>
  <mergeCells count="5">
    <mergeCell ref="AN1:AS1"/>
    <mergeCell ref="A2:J2"/>
    <mergeCell ref="A1:J1"/>
    <mergeCell ref="P1:AA1"/>
    <mergeCell ref="AB1:AM1"/>
  </mergeCells>
  <phoneticPr fontId="17" type="noConversion"/>
  <printOptions horizontalCentered="1" verticalCentered="1" gridLines="1"/>
  <pageMargins left="0.5" right="0.5" top="1" bottom="1" header="0.5" footer="0.5"/>
  <pageSetup scale="70" fitToWidth="5" orientation="landscape" r:id="rId1"/>
  <headerFooter alignWithMargins="0">
    <oddHeader>&amp;C&amp;Z&amp;F&amp;R&amp;A</oddHeader>
    <oddFooter>&amp;LBLM Elko, Bergwall&amp;C&amp;P of &amp;N&amp;R&amp;D</oddFooter>
  </headerFooter>
  <colBreaks count="3" manualBreakCount="3">
    <brk id="15" max="1048575" man="1"/>
    <brk id="27" max="1048575" man="1"/>
    <brk id="3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11"/>
  <sheetViews>
    <sheetView view="pageBreakPreview" zoomScale="75" zoomScaleNormal="100" workbookViewId="0">
      <selection activeCell="A8" sqref="A8:A11"/>
    </sheetView>
  </sheetViews>
  <sheetFormatPr defaultRowHeight="12.5" x14ac:dyDescent="0.25"/>
  <cols>
    <col min="1" max="1" width="10.7265625" style="2" customWidth="1"/>
    <col min="2" max="11" width="10.7265625" customWidth="1"/>
    <col min="12" max="16" width="12.7265625" customWidth="1"/>
  </cols>
  <sheetData>
    <row r="1" spans="1:18" s="54" customFormat="1" ht="37.5" customHeight="1" x14ac:dyDescent="0.35">
      <c r="A1" s="315" t="s">
        <v>255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R1" s="20"/>
    </row>
    <row r="2" spans="1:18" s="54" customFormat="1" ht="39.75" customHeight="1" x14ac:dyDescent="0.35">
      <c r="A2" s="316" t="str">
        <f>'Cost Estimate'!A3:I3</f>
        <v>Enter Project Name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R2" s="58"/>
    </row>
    <row r="3" spans="1:18" s="9" customFormat="1" ht="52" x14ac:dyDescent="0.3">
      <c r="A3" s="17" t="s">
        <v>54</v>
      </c>
      <c r="B3" s="17" t="s">
        <v>44</v>
      </c>
      <c r="C3" s="17" t="s">
        <v>45</v>
      </c>
      <c r="D3" s="17" t="s">
        <v>175</v>
      </c>
      <c r="E3" s="17" t="s">
        <v>176</v>
      </c>
      <c r="F3" s="17" t="s">
        <v>47</v>
      </c>
      <c r="G3" s="17" t="s">
        <v>48</v>
      </c>
      <c r="H3" s="17" t="s">
        <v>49</v>
      </c>
      <c r="I3" s="17" t="s">
        <v>50</v>
      </c>
      <c r="J3" s="18" t="s">
        <v>210</v>
      </c>
      <c r="K3" s="19" t="s">
        <v>211</v>
      </c>
      <c r="L3" s="19" t="s">
        <v>179</v>
      </c>
      <c r="M3" s="19" t="s">
        <v>51</v>
      </c>
      <c r="N3" s="19" t="s">
        <v>52</v>
      </c>
      <c r="O3" s="19" t="s">
        <v>180</v>
      </c>
      <c r="P3" s="9" t="s">
        <v>53</v>
      </c>
      <c r="R3" s="59" t="s">
        <v>153</v>
      </c>
    </row>
    <row r="4" spans="1:18" s="2" customFormat="1" ht="38" x14ac:dyDescent="0.3">
      <c r="A4" s="314" t="s">
        <v>55</v>
      </c>
      <c r="B4" s="314"/>
      <c r="C4" s="314"/>
      <c r="D4" s="314"/>
      <c r="E4" s="72"/>
      <c r="F4" s="43" t="s">
        <v>177</v>
      </c>
      <c r="G4" s="43" t="s">
        <v>57</v>
      </c>
      <c r="H4" s="106">
        <v>1.2</v>
      </c>
      <c r="I4" s="41" t="s">
        <v>58</v>
      </c>
      <c r="J4" s="44" t="s">
        <v>59</v>
      </c>
      <c r="K4" s="45" t="s">
        <v>60</v>
      </c>
      <c r="L4" s="45" t="s">
        <v>61</v>
      </c>
      <c r="M4" s="45" t="s">
        <v>181</v>
      </c>
      <c r="N4" s="45" t="s">
        <v>182</v>
      </c>
      <c r="O4" s="45" t="s">
        <v>208</v>
      </c>
      <c r="P4" s="45" t="s">
        <v>62</v>
      </c>
      <c r="R4" s="58"/>
    </row>
    <row r="5" spans="1:18" x14ac:dyDescent="0.25">
      <c r="A5" s="4">
        <v>1</v>
      </c>
      <c r="B5" s="76">
        <v>10</v>
      </c>
      <c r="C5" s="76">
        <v>20</v>
      </c>
      <c r="D5" s="106">
        <v>6.75</v>
      </c>
      <c r="E5" s="8">
        <f>'Cost Estimate'!B13</f>
        <v>0</v>
      </c>
      <c r="F5" s="8">
        <f>E5*D5*C5*B5</f>
        <v>0</v>
      </c>
      <c r="G5" s="8">
        <f>F5/27</f>
        <v>0</v>
      </c>
      <c r="H5" s="106">
        <f>H$4</f>
        <v>1.2</v>
      </c>
      <c r="I5" s="8">
        <f>H5*G5</f>
        <v>0</v>
      </c>
      <c r="J5" s="8">
        <f>C5*B5</f>
        <v>200</v>
      </c>
      <c r="K5" s="27">
        <f>J5/43560</f>
        <v>4.5913682277318639E-3</v>
      </c>
      <c r="L5" s="8">
        <f>B5*D5*H5</f>
        <v>81</v>
      </c>
      <c r="M5" s="27">
        <f>SQRT(L5/2)</f>
        <v>6.3639610306789276</v>
      </c>
      <c r="N5" s="27">
        <f>M5*4</f>
        <v>25.45584412271571</v>
      </c>
      <c r="O5" s="27">
        <f>B5+N5</f>
        <v>35.45584412271571</v>
      </c>
      <c r="P5" s="28">
        <f>IF(E5&gt;0,((B5+N5)*E5*C5/43560),0)</f>
        <v>0</v>
      </c>
      <c r="R5" s="58">
        <f>'Drill Sites'!D4</f>
        <v>0</v>
      </c>
    </row>
    <row r="6" spans="1:18" x14ac:dyDescent="0.25">
      <c r="A6" s="33"/>
      <c r="B6" s="33"/>
      <c r="C6" s="33"/>
      <c r="D6" s="33"/>
      <c r="E6" s="33"/>
      <c r="F6" s="33"/>
      <c r="G6" s="33"/>
      <c r="H6" s="46"/>
      <c r="I6" s="46"/>
      <c r="J6" s="33"/>
      <c r="K6" s="34"/>
      <c r="L6" s="47"/>
      <c r="M6" s="47"/>
      <c r="N6" s="47"/>
      <c r="O6" s="47"/>
      <c r="P6" s="47"/>
      <c r="R6" s="3"/>
    </row>
    <row r="7" spans="1:18" x14ac:dyDescent="0.25">
      <c r="A7" s="2" t="s">
        <v>63</v>
      </c>
      <c r="B7" s="2"/>
      <c r="C7" s="48">
        <f>SUM(C5:C6)</f>
        <v>20</v>
      </c>
      <c r="D7" s="49"/>
      <c r="E7" s="48">
        <f>SUM(E5:E6)</f>
        <v>0</v>
      </c>
      <c r="F7" s="49"/>
      <c r="G7" s="41">
        <f>SUM(G5:G6)</f>
        <v>0</v>
      </c>
      <c r="H7" s="41"/>
      <c r="I7" s="41">
        <f>SUM(I5:I6)</f>
        <v>0</v>
      </c>
      <c r="J7" s="49"/>
      <c r="K7" s="50">
        <f>SUM(K5:K6)</f>
        <v>4.5913682277318639E-3</v>
      </c>
      <c r="L7" s="120">
        <f>SUM(L5:L6)</f>
        <v>81</v>
      </c>
      <c r="M7" s="35"/>
      <c r="N7" s="35"/>
      <c r="O7" s="35"/>
      <c r="P7" s="141">
        <f>SUM(P5:P6)</f>
        <v>0</v>
      </c>
      <c r="R7" s="58">
        <f>SUM(R5:R6)</f>
        <v>0</v>
      </c>
    </row>
    <row r="8" spans="1:18" x14ac:dyDescent="0.25">
      <c r="A8" s="68" t="s">
        <v>125</v>
      </c>
      <c r="D8" s="298" t="s">
        <v>178</v>
      </c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</row>
    <row r="9" spans="1:18" x14ac:dyDescent="0.25">
      <c r="A9" s="69" t="s">
        <v>128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8" x14ac:dyDescent="0.25">
      <c r="A10" s="70" t="s">
        <v>126</v>
      </c>
    </row>
    <row r="11" spans="1:18" x14ac:dyDescent="0.25">
      <c r="A11" s="71" t="s">
        <v>127</v>
      </c>
    </row>
  </sheetData>
  <sheetProtection password="DD80" sheet="1"/>
  <mergeCells count="4">
    <mergeCell ref="D8:P8"/>
    <mergeCell ref="A4:D4"/>
    <mergeCell ref="A1:P1"/>
    <mergeCell ref="A2:P2"/>
  </mergeCells>
  <phoneticPr fontId="17" type="noConversion"/>
  <printOptions horizontalCentered="1" verticalCentered="1" gridLines="1"/>
  <pageMargins left="0.25" right="0.25" top="1" bottom="1" header="0.25" footer="0.25"/>
  <pageSetup scale="75" orientation="landscape" r:id="rId1"/>
  <headerFooter alignWithMargins="0">
    <oddHeader>&amp;C&amp;Z&amp;F&amp;R&amp;A</oddHeader>
    <oddFooter>&amp;LBLM Elko, Bergwall&amp;C&amp;P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P11"/>
  <sheetViews>
    <sheetView view="pageBreakPreview" zoomScaleNormal="100" workbookViewId="0">
      <selection activeCell="F5" sqref="F5"/>
    </sheetView>
  </sheetViews>
  <sheetFormatPr defaultRowHeight="12.5" x14ac:dyDescent="0.25"/>
  <cols>
    <col min="1" max="1" width="10.7265625" style="2" customWidth="1"/>
    <col min="2" max="11" width="10.7265625" customWidth="1"/>
    <col min="12" max="14" width="12.7265625" customWidth="1"/>
    <col min="16" max="16" width="10.81640625" customWidth="1"/>
  </cols>
  <sheetData>
    <row r="1" spans="1:16" s="54" customFormat="1" ht="18.75" customHeight="1" x14ac:dyDescent="0.35">
      <c r="A1" s="315" t="s">
        <v>254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P1" s="20"/>
    </row>
    <row r="2" spans="1:16" s="54" customFormat="1" ht="18.75" customHeight="1" x14ac:dyDescent="0.35">
      <c r="A2" s="315" t="str">
        <f>'Cost Estimate'!A3:I3</f>
        <v>Enter Project Name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P2" s="58"/>
    </row>
    <row r="3" spans="1:16" s="9" customFormat="1" ht="39" x14ac:dyDescent="0.3">
      <c r="A3" s="17" t="s">
        <v>119</v>
      </c>
      <c r="B3" s="17" t="s">
        <v>44</v>
      </c>
      <c r="C3" s="17" t="s">
        <v>45</v>
      </c>
      <c r="D3" s="17" t="s">
        <v>46</v>
      </c>
      <c r="E3" s="17" t="s">
        <v>207</v>
      </c>
      <c r="F3" s="17" t="s">
        <v>120</v>
      </c>
      <c r="G3" s="17" t="s">
        <v>121</v>
      </c>
      <c r="H3" s="17" t="s">
        <v>49</v>
      </c>
      <c r="I3" s="17" t="s">
        <v>50</v>
      </c>
      <c r="J3" s="18" t="s">
        <v>209</v>
      </c>
      <c r="K3" s="19" t="s">
        <v>122</v>
      </c>
      <c r="L3" s="19" t="s">
        <v>246</v>
      </c>
      <c r="M3" s="19" t="s">
        <v>180</v>
      </c>
      <c r="N3" s="9" t="s">
        <v>123</v>
      </c>
      <c r="P3" s="59" t="s">
        <v>154</v>
      </c>
    </row>
    <row r="4" spans="1:16" s="2" customFormat="1" ht="25.5" x14ac:dyDescent="0.3">
      <c r="A4" s="314" t="s">
        <v>124</v>
      </c>
      <c r="B4" s="314"/>
      <c r="C4" s="314"/>
      <c r="D4" s="314"/>
      <c r="E4" s="72"/>
      <c r="F4" s="43" t="s">
        <v>56</v>
      </c>
      <c r="G4" s="43" t="s">
        <v>57</v>
      </c>
      <c r="H4" s="220"/>
      <c r="I4" s="41" t="s">
        <v>58</v>
      </c>
      <c r="J4" s="44" t="s">
        <v>59</v>
      </c>
      <c r="K4" s="45" t="s">
        <v>60</v>
      </c>
      <c r="L4" s="45"/>
      <c r="M4" s="45" t="s">
        <v>183</v>
      </c>
      <c r="N4" s="45" t="s">
        <v>62</v>
      </c>
      <c r="P4" s="58"/>
    </row>
    <row r="5" spans="1:16" x14ac:dyDescent="0.25">
      <c r="A5" s="218">
        <v>1</v>
      </c>
      <c r="B5" s="210">
        <v>14</v>
      </c>
      <c r="C5" s="219">
        <f>'Cost Estimate'!B16</f>
        <v>0</v>
      </c>
      <c r="D5" s="210">
        <v>5</v>
      </c>
      <c r="E5" s="210">
        <v>1</v>
      </c>
      <c r="F5" s="8">
        <f>E5*D5*C5*B5</f>
        <v>0</v>
      </c>
      <c r="G5" s="8">
        <f>F5/27</f>
        <v>0</v>
      </c>
      <c r="H5" s="220">
        <v>1.3</v>
      </c>
      <c r="I5" s="8">
        <f>H5*G5</f>
        <v>0</v>
      </c>
      <c r="J5" s="8">
        <f>E5*C5*B5</f>
        <v>0</v>
      </c>
      <c r="K5" s="27">
        <f>J5/43560</f>
        <v>0</v>
      </c>
      <c r="L5" s="211">
        <v>10</v>
      </c>
      <c r="M5" s="27">
        <f>B5+L5</f>
        <v>24</v>
      </c>
      <c r="N5" s="28">
        <f>IF(E5&gt;0,((M5)*C5)/43560,0)</f>
        <v>0</v>
      </c>
      <c r="P5" s="58">
        <f>E5</f>
        <v>1</v>
      </c>
    </row>
    <row r="6" spans="1:16" x14ac:dyDescent="0.25">
      <c r="A6" s="33"/>
      <c r="B6" s="56"/>
      <c r="C6" s="56"/>
      <c r="D6" s="56"/>
      <c r="E6" s="56"/>
      <c r="F6" s="33"/>
      <c r="G6" s="33"/>
      <c r="H6" s="46"/>
      <c r="I6" s="46"/>
      <c r="J6" s="33"/>
      <c r="K6" s="34"/>
      <c r="L6" s="35"/>
      <c r="M6" s="35"/>
      <c r="N6" s="47"/>
      <c r="P6" s="3"/>
    </row>
    <row r="7" spans="1:16" ht="13" x14ac:dyDescent="0.25">
      <c r="A7" s="2" t="s">
        <v>63</v>
      </c>
      <c r="B7" s="2"/>
      <c r="C7" s="48">
        <f>SUM(C5:C6)</f>
        <v>0</v>
      </c>
      <c r="D7" s="49"/>
      <c r="E7" s="49"/>
      <c r="F7" s="49"/>
      <c r="G7" s="41"/>
      <c r="H7" s="41"/>
      <c r="I7" s="41">
        <f>SUM(I5:I6)</f>
        <v>0</v>
      </c>
      <c r="J7" s="49"/>
      <c r="K7" s="50">
        <f>SUM(K5:K6)</f>
        <v>0</v>
      </c>
      <c r="L7" s="35"/>
      <c r="M7" s="35"/>
      <c r="N7" s="212">
        <f>SUM(N5:N6)</f>
        <v>0</v>
      </c>
      <c r="P7" s="58">
        <f>SUM(P5:P6)</f>
        <v>1</v>
      </c>
    </row>
    <row r="8" spans="1:16" x14ac:dyDescent="0.25">
      <c r="A8" s="68" t="s">
        <v>125</v>
      </c>
      <c r="P8" s="58"/>
    </row>
    <row r="9" spans="1:16" x14ac:dyDescent="0.25">
      <c r="A9" s="69" t="s">
        <v>128</v>
      </c>
    </row>
    <row r="10" spans="1:16" x14ac:dyDescent="0.25">
      <c r="A10" s="70" t="s">
        <v>126</v>
      </c>
    </row>
    <row r="11" spans="1:16" x14ac:dyDescent="0.25">
      <c r="A11" s="71" t="s">
        <v>127</v>
      </c>
    </row>
  </sheetData>
  <sheetProtection password="DD80" sheet="1"/>
  <mergeCells count="3">
    <mergeCell ref="A1:N1"/>
    <mergeCell ref="A2:N2"/>
    <mergeCell ref="A4:D4"/>
  </mergeCells>
  <phoneticPr fontId="17" type="noConversion"/>
  <printOptions horizontalCentered="1" verticalCentered="1" gridLines="1"/>
  <pageMargins left="0.25" right="0.25" top="1" bottom="1" header="0.5" footer="0.5"/>
  <pageSetup scale="87" orientation="landscape" r:id="rId1"/>
  <headerFooter alignWithMargins="0">
    <oddHeader>&amp;C&amp;Z&amp;F&amp;R&amp;A</oddHeader>
    <oddFooter>&amp;LBLM Elko, Bergwall&amp;C&amp;P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17"/>
  <sheetViews>
    <sheetView view="pageBreakPreview" zoomScale="110" zoomScaleNormal="100" workbookViewId="0">
      <selection activeCell="F11" sqref="F11"/>
    </sheetView>
  </sheetViews>
  <sheetFormatPr defaultRowHeight="12.5" x14ac:dyDescent="0.25"/>
  <cols>
    <col min="2" max="2" width="13.1796875" customWidth="1"/>
    <col min="4" max="5" width="10.81640625" customWidth="1"/>
    <col min="6" max="6" width="15.7265625" customWidth="1"/>
    <col min="7" max="7" width="12" customWidth="1"/>
    <col min="8" max="8" width="15.26953125" customWidth="1"/>
  </cols>
  <sheetData>
    <row r="1" spans="1:10" ht="13" x14ac:dyDescent="0.3">
      <c r="A1" s="313" t="s">
        <v>253</v>
      </c>
      <c r="B1" s="313"/>
      <c r="C1" s="313"/>
      <c r="D1" s="313"/>
      <c r="E1" s="313"/>
      <c r="F1" s="313"/>
      <c r="G1" s="313"/>
      <c r="H1" s="313"/>
    </row>
    <row r="2" spans="1:10" ht="13" x14ac:dyDescent="0.3">
      <c r="A2" s="312" t="str">
        <f>'Cost Estimate'!A3:I3</f>
        <v>Enter Project Name</v>
      </c>
      <c r="B2" s="312"/>
      <c r="C2" s="312"/>
      <c r="D2" s="312"/>
      <c r="E2" s="312"/>
      <c r="F2" s="312"/>
      <c r="G2" s="312"/>
      <c r="H2" s="312"/>
    </row>
    <row r="3" spans="1:10" ht="52" x14ac:dyDescent="0.25">
      <c r="A3" s="51" t="s">
        <v>41</v>
      </c>
      <c r="B3" s="51" t="s">
        <v>108</v>
      </c>
      <c r="C3" s="51" t="s">
        <v>111</v>
      </c>
      <c r="D3" s="51" t="s">
        <v>212</v>
      </c>
      <c r="E3" s="51" t="s">
        <v>213</v>
      </c>
      <c r="F3" s="51" t="s">
        <v>113</v>
      </c>
      <c r="G3" s="51" t="s">
        <v>109</v>
      </c>
      <c r="H3" s="51" t="s">
        <v>110</v>
      </c>
      <c r="J3" s="51"/>
    </row>
    <row r="4" spans="1:10" x14ac:dyDescent="0.25">
      <c r="A4" s="236">
        <v>1</v>
      </c>
      <c r="B4" s="237">
        <v>0</v>
      </c>
      <c r="C4" s="238">
        <v>0</v>
      </c>
      <c r="D4" s="134">
        <f>C4*B4</f>
        <v>0</v>
      </c>
      <c r="E4" s="228">
        <f>'Cost Estimate'!B17</f>
        <v>0</v>
      </c>
      <c r="F4" s="229">
        <v>6</v>
      </c>
      <c r="G4" s="230">
        <f>IF(E4=0,F4*D4,(E4*F4))</f>
        <v>0</v>
      </c>
      <c r="H4" s="231">
        <f>G4/43560</f>
        <v>0</v>
      </c>
    </row>
    <row r="5" spans="1:10" x14ac:dyDescent="0.25">
      <c r="A5" s="236">
        <v>1</v>
      </c>
      <c r="B5" s="237">
        <v>0</v>
      </c>
      <c r="C5" s="238">
        <v>0</v>
      </c>
      <c r="D5" s="134">
        <f t="shared" ref="D5:D15" si="0">C5*B5</f>
        <v>0</v>
      </c>
      <c r="E5" s="239">
        <v>0</v>
      </c>
      <c r="F5" s="229">
        <v>6</v>
      </c>
      <c r="G5" s="230">
        <f t="shared" ref="G5:G15" si="1">IF(E5=0,F5*D5,(E5*F5))</f>
        <v>0</v>
      </c>
      <c r="H5" s="231">
        <f t="shared" ref="H5:H15" si="2">G5/43560</f>
        <v>0</v>
      </c>
    </row>
    <row r="6" spans="1:10" x14ac:dyDescent="0.25">
      <c r="A6" s="236">
        <v>1</v>
      </c>
      <c r="B6" s="237">
        <v>0</v>
      </c>
      <c r="C6" s="238">
        <v>0</v>
      </c>
      <c r="D6" s="134">
        <f t="shared" si="0"/>
        <v>0</v>
      </c>
      <c r="E6" s="239">
        <v>0</v>
      </c>
      <c r="F6" s="229">
        <v>6</v>
      </c>
      <c r="G6" s="230">
        <f t="shared" si="1"/>
        <v>0</v>
      </c>
      <c r="H6" s="231">
        <f t="shared" si="2"/>
        <v>0</v>
      </c>
    </row>
    <row r="7" spans="1:10" x14ac:dyDescent="0.25">
      <c r="A7" s="236">
        <v>1</v>
      </c>
      <c r="B7" s="237">
        <v>0</v>
      </c>
      <c r="C7" s="238">
        <v>0</v>
      </c>
      <c r="D7" s="134">
        <f t="shared" si="0"/>
        <v>0</v>
      </c>
      <c r="E7" s="239">
        <v>0</v>
      </c>
      <c r="F7" s="229">
        <v>6</v>
      </c>
      <c r="G7" s="230">
        <f t="shared" si="1"/>
        <v>0</v>
      </c>
      <c r="H7" s="231">
        <f t="shared" si="2"/>
        <v>0</v>
      </c>
    </row>
    <row r="8" spans="1:10" x14ac:dyDescent="0.25">
      <c r="A8" s="236">
        <v>1</v>
      </c>
      <c r="B8" s="237">
        <v>0</v>
      </c>
      <c r="C8" s="238">
        <v>0</v>
      </c>
      <c r="D8" s="134">
        <f t="shared" si="0"/>
        <v>0</v>
      </c>
      <c r="E8" s="239">
        <v>0</v>
      </c>
      <c r="F8" s="229">
        <v>6</v>
      </c>
      <c r="G8" s="230">
        <f t="shared" si="1"/>
        <v>0</v>
      </c>
      <c r="H8" s="231">
        <f t="shared" si="2"/>
        <v>0</v>
      </c>
    </row>
    <row r="9" spans="1:10" x14ac:dyDescent="0.25">
      <c r="A9" s="236">
        <v>1</v>
      </c>
      <c r="B9" s="237">
        <v>0</v>
      </c>
      <c r="C9" s="238">
        <v>0</v>
      </c>
      <c r="D9" s="134">
        <f t="shared" si="0"/>
        <v>0</v>
      </c>
      <c r="E9" s="239">
        <v>0</v>
      </c>
      <c r="F9" s="229">
        <v>6</v>
      </c>
      <c r="G9" s="230">
        <f t="shared" si="1"/>
        <v>0</v>
      </c>
      <c r="H9" s="231">
        <f t="shared" si="2"/>
        <v>0</v>
      </c>
    </row>
    <row r="10" spans="1:10" x14ac:dyDescent="0.25">
      <c r="A10" s="236">
        <v>1</v>
      </c>
      <c r="B10" s="237">
        <v>0</v>
      </c>
      <c r="C10" s="238">
        <v>0</v>
      </c>
      <c r="D10" s="134">
        <f t="shared" si="0"/>
        <v>0</v>
      </c>
      <c r="E10" s="239">
        <v>0</v>
      </c>
      <c r="F10" s="229">
        <v>6</v>
      </c>
      <c r="G10" s="230">
        <f t="shared" si="1"/>
        <v>0</v>
      </c>
      <c r="H10" s="231">
        <f t="shared" si="2"/>
        <v>0</v>
      </c>
    </row>
    <row r="11" spans="1:10" x14ac:dyDescent="0.25">
      <c r="A11" s="236">
        <v>1</v>
      </c>
      <c r="B11" s="237">
        <v>0</v>
      </c>
      <c r="C11" s="238">
        <v>0</v>
      </c>
      <c r="D11" s="134">
        <f t="shared" si="0"/>
        <v>0</v>
      </c>
      <c r="E11" s="239">
        <v>0</v>
      </c>
      <c r="F11" s="229">
        <v>6</v>
      </c>
      <c r="G11" s="230">
        <f t="shared" si="1"/>
        <v>0</v>
      </c>
      <c r="H11" s="231">
        <f t="shared" si="2"/>
        <v>0</v>
      </c>
    </row>
    <row r="12" spans="1:10" x14ac:dyDescent="0.25">
      <c r="A12" s="236">
        <v>1</v>
      </c>
      <c r="B12" s="237">
        <v>0</v>
      </c>
      <c r="C12" s="238">
        <v>0</v>
      </c>
      <c r="D12" s="134">
        <f t="shared" si="0"/>
        <v>0</v>
      </c>
      <c r="E12" s="239">
        <v>0</v>
      </c>
      <c r="F12" s="229">
        <v>6</v>
      </c>
      <c r="G12" s="230">
        <f t="shared" si="1"/>
        <v>0</v>
      </c>
      <c r="H12" s="231">
        <f t="shared" si="2"/>
        <v>0</v>
      </c>
    </row>
    <row r="13" spans="1:10" x14ac:dyDescent="0.25">
      <c r="A13" s="236">
        <v>1</v>
      </c>
      <c r="B13" s="237">
        <v>0</v>
      </c>
      <c r="C13" s="238">
        <v>0</v>
      </c>
      <c r="D13" s="134">
        <f t="shared" si="0"/>
        <v>0</v>
      </c>
      <c r="E13" s="239">
        <v>0</v>
      </c>
      <c r="F13" s="229">
        <v>6</v>
      </c>
      <c r="G13" s="230">
        <f t="shared" si="1"/>
        <v>0</v>
      </c>
      <c r="H13" s="231">
        <f t="shared" si="2"/>
        <v>0</v>
      </c>
    </row>
    <row r="14" spans="1:10" x14ac:dyDescent="0.25">
      <c r="A14" s="236">
        <v>1</v>
      </c>
      <c r="B14" s="237">
        <v>0</v>
      </c>
      <c r="C14" s="238">
        <v>0</v>
      </c>
      <c r="D14" s="134">
        <f t="shared" si="0"/>
        <v>0</v>
      </c>
      <c r="E14" s="239">
        <v>0</v>
      </c>
      <c r="F14" s="229">
        <v>6</v>
      </c>
      <c r="G14" s="230">
        <f t="shared" si="1"/>
        <v>0</v>
      </c>
      <c r="H14" s="231">
        <f t="shared" si="2"/>
        <v>0</v>
      </c>
    </row>
    <row r="15" spans="1:10" x14ac:dyDescent="0.25">
      <c r="A15" s="236">
        <v>1</v>
      </c>
      <c r="B15" s="237">
        <v>0</v>
      </c>
      <c r="C15" s="238">
        <v>0</v>
      </c>
      <c r="D15" s="134">
        <f t="shared" si="0"/>
        <v>0</v>
      </c>
      <c r="E15" s="239">
        <v>0</v>
      </c>
      <c r="F15" s="229">
        <v>6</v>
      </c>
      <c r="G15" s="230">
        <f t="shared" si="1"/>
        <v>0</v>
      </c>
      <c r="H15" s="231">
        <f t="shared" si="2"/>
        <v>0</v>
      </c>
    </row>
    <row r="16" spans="1:10" x14ac:dyDescent="0.25">
      <c r="A16" s="57"/>
      <c r="B16" s="135"/>
      <c r="C16" s="136"/>
      <c r="D16" s="235"/>
      <c r="E16" s="138"/>
      <c r="F16" s="130"/>
      <c r="G16" s="232"/>
      <c r="H16" s="233"/>
    </row>
    <row r="17" spans="1:8" ht="13" x14ac:dyDescent="0.3">
      <c r="A17" s="4"/>
      <c r="B17" s="6"/>
      <c r="C17" s="7"/>
      <c r="D17" s="53">
        <f>SUM(D4:D16)</f>
        <v>0</v>
      </c>
      <c r="E17" s="53">
        <f>SUM(E4:E16)</f>
        <v>0</v>
      </c>
      <c r="F17" s="6"/>
      <c r="G17" s="53">
        <f>SUM(G4:G16)</f>
        <v>0</v>
      </c>
      <c r="H17" s="234">
        <f>SUM(H4:H16)</f>
        <v>0</v>
      </c>
    </row>
  </sheetData>
  <sheetProtection password="DD80" sheet="1" objects="1" scenarios="1"/>
  <mergeCells count="2">
    <mergeCell ref="A1:H1"/>
    <mergeCell ref="A2:H2"/>
  </mergeCells>
  <phoneticPr fontId="17" type="noConversion"/>
  <printOptions horizontalCentered="1" verticalCentered="1" gridLines="1"/>
  <pageMargins left="0.75" right="0.75" top="1" bottom="1" header="0.5" footer="0.5"/>
  <pageSetup orientation="landscape" r:id="rId1"/>
  <headerFooter alignWithMargins="0">
    <oddHeader>&amp;C&amp;Z&amp;F&amp;R&amp;A</oddHeader>
    <oddFooter>&amp;LBLM Elko,Bergwall&amp;C&amp;P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28"/>
  <sheetViews>
    <sheetView view="pageBreakPreview" zoomScale="75" zoomScaleNormal="100" workbookViewId="0">
      <selection activeCell="H10" sqref="H10"/>
    </sheetView>
  </sheetViews>
  <sheetFormatPr defaultRowHeight="12.5" x14ac:dyDescent="0.25"/>
  <cols>
    <col min="1" max="1" width="29.54296875" customWidth="1"/>
    <col min="2" max="2" width="12.81640625" customWidth="1"/>
    <col min="4" max="4" width="12.81640625" customWidth="1"/>
    <col min="5" max="5" width="11.1796875" customWidth="1"/>
    <col min="6" max="6" width="9.26953125" customWidth="1"/>
    <col min="7" max="7" width="12.26953125" customWidth="1"/>
    <col min="12" max="12" width="14.54296875" customWidth="1"/>
  </cols>
  <sheetData>
    <row r="1" spans="1:15" ht="15.5" x14ac:dyDescent="0.35">
      <c r="A1" s="54" t="s">
        <v>252</v>
      </c>
    </row>
    <row r="2" spans="1:15" s="60" customFormat="1" ht="26" x14ac:dyDescent="0.3">
      <c r="A2" s="9" t="s">
        <v>4</v>
      </c>
      <c r="B2" s="9" t="s">
        <v>138</v>
      </c>
      <c r="C2" s="9" t="s">
        <v>159</v>
      </c>
      <c r="D2" s="9" t="s">
        <v>160</v>
      </c>
      <c r="E2" s="9" t="s">
        <v>161</v>
      </c>
      <c r="F2" s="9" t="s">
        <v>141</v>
      </c>
      <c r="G2" s="9" t="s">
        <v>162</v>
      </c>
      <c r="H2" s="9" t="s">
        <v>144</v>
      </c>
      <c r="I2" s="9" t="s">
        <v>148</v>
      </c>
      <c r="J2" s="9" t="s">
        <v>149</v>
      </c>
      <c r="K2" s="9" t="s">
        <v>150</v>
      </c>
      <c r="L2" s="9" t="s">
        <v>261</v>
      </c>
      <c r="M2" s="9" t="s">
        <v>189</v>
      </c>
      <c r="N2" s="9" t="s">
        <v>190</v>
      </c>
    </row>
    <row r="3" spans="1:15" s="60" customFormat="1" ht="13" x14ac:dyDescent="0.3">
      <c r="A3" s="124" t="s">
        <v>192</v>
      </c>
      <c r="B3" s="9"/>
      <c r="C3" s="9"/>
      <c r="D3" s="9"/>
      <c r="E3" s="9"/>
      <c r="F3" s="9"/>
      <c r="G3" s="208">
        <v>2.73</v>
      </c>
      <c r="H3" s="123" t="s">
        <v>191</v>
      </c>
      <c r="I3" s="9"/>
      <c r="J3" s="9"/>
      <c r="K3" s="9"/>
      <c r="L3" s="125">
        <f>G3*2</f>
        <v>5.46</v>
      </c>
      <c r="M3" s="207">
        <v>0.5</v>
      </c>
      <c r="N3" s="207">
        <v>0.5</v>
      </c>
    </row>
    <row r="4" spans="1:15" x14ac:dyDescent="0.25">
      <c r="A4" t="s">
        <v>136</v>
      </c>
      <c r="B4" s="2" t="s">
        <v>139</v>
      </c>
      <c r="C4" s="61">
        <v>56.58</v>
      </c>
      <c r="D4" s="61">
        <v>71.625</v>
      </c>
      <c r="E4" s="61">
        <v>0</v>
      </c>
      <c r="F4" s="62">
        <f>E4+D4+C4</f>
        <v>128.20499999999998</v>
      </c>
      <c r="G4" s="63">
        <v>139</v>
      </c>
      <c r="H4" s="2" t="s">
        <v>145</v>
      </c>
      <c r="I4" s="64">
        <f>F4/G4</f>
        <v>0.92233812949640281</v>
      </c>
      <c r="J4" s="5"/>
      <c r="K4" s="5"/>
      <c r="L4" s="61">
        <v>559</v>
      </c>
      <c r="M4" s="131">
        <f>C4/(C4+D4)</f>
        <v>0.44132444132444137</v>
      </c>
      <c r="N4" s="131">
        <f>1-M4</f>
        <v>0.55867555867555863</v>
      </c>
      <c r="O4" s="122"/>
    </row>
    <row r="5" spans="1:15" x14ac:dyDescent="0.25">
      <c r="A5" t="s">
        <v>137</v>
      </c>
      <c r="B5" s="2" t="s">
        <v>139</v>
      </c>
      <c r="C5" s="61">
        <v>55.24</v>
      </c>
      <c r="D5" s="61">
        <v>83.875</v>
      </c>
      <c r="E5" s="61">
        <v>0</v>
      </c>
      <c r="F5" s="62">
        <f>E5+D5+C5</f>
        <v>139.11500000000001</v>
      </c>
      <c r="G5" s="65">
        <v>94</v>
      </c>
      <c r="H5" s="2" t="s">
        <v>145</v>
      </c>
      <c r="I5" s="64">
        <f>F5/G5</f>
        <v>1.4799468085106384</v>
      </c>
      <c r="J5" s="5"/>
      <c r="K5" s="5"/>
      <c r="L5" s="61">
        <v>660</v>
      </c>
      <c r="M5" s="131">
        <f t="shared" ref="M5:M11" si="0">C5/(C5+D5)</f>
        <v>0.3970815512345901</v>
      </c>
      <c r="N5" s="131">
        <f t="shared" ref="N5:N11" si="1">1-M5</f>
        <v>0.6029184487654099</v>
      </c>
      <c r="O5" s="122"/>
    </row>
    <row r="6" spans="1:15" x14ac:dyDescent="0.25">
      <c r="A6" t="s">
        <v>155</v>
      </c>
      <c r="B6" s="2" t="s">
        <v>139</v>
      </c>
      <c r="C6" s="61">
        <v>55.24</v>
      </c>
      <c r="D6" s="61">
        <v>113.5</v>
      </c>
      <c r="E6" s="61">
        <v>0</v>
      </c>
      <c r="F6" s="62">
        <f>E6+D6+C6</f>
        <v>168.74</v>
      </c>
      <c r="G6" s="65">
        <v>700</v>
      </c>
      <c r="H6" s="2" t="s">
        <v>145</v>
      </c>
      <c r="I6" s="64">
        <f>F6/G6</f>
        <v>0.24105714285714286</v>
      </c>
      <c r="J6" s="5"/>
      <c r="K6" s="5"/>
      <c r="L6" s="61">
        <v>798</v>
      </c>
      <c r="M6" s="131">
        <f t="shared" si="0"/>
        <v>0.32736754770653076</v>
      </c>
      <c r="N6" s="131">
        <f t="shared" si="1"/>
        <v>0.67263245229346924</v>
      </c>
      <c r="O6" s="122"/>
    </row>
    <row r="7" spans="1:15" x14ac:dyDescent="0.25">
      <c r="A7" t="s">
        <v>147</v>
      </c>
      <c r="B7" s="2" t="s">
        <v>140</v>
      </c>
      <c r="C7" s="61">
        <v>76</v>
      </c>
      <c r="D7" s="61">
        <v>64.5</v>
      </c>
      <c r="E7" s="61">
        <v>302.5</v>
      </c>
      <c r="F7" s="62">
        <f>E7+D7+C7</f>
        <v>443</v>
      </c>
      <c r="G7" s="65">
        <v>1</v>
      </c>
      <c r="H7" s="2" t="s">
        <v>140</v>
      </c>
      <c r="I7" s="5"/>
      <c r="J7" s="64">
        <f>F7</f>
        <v>443</v>
      </c>
      <c r="K7" s="5"/>
      <c r="L7" s="62">
        <f>$L$3*(C7+D7)</f>
        <v>767.13</v>
      </c>
      <c r="M7" s="131">
        <f t="shared" si="0"/>
        <v>0.54092526690391463</v>
      </c>
      <c r="N7" s="131">
        <f t="shared" si="1"/>
        <v>0.45907473309608537</v>
      </c>
      <c r="O7" s="122"/>
    </row>
    <row r="8" spans="1:15" x14ac:dyDescent="0.25">
      <c r="A8" t="s">
        <v>156</v>
      </c>
      <c r="B8" s="2" t="s">
        <v>139</v>
      </c>
      <c r="C8" s="61">
        <v>34.08</v>
      </c>
      <c r="D8" s="61">
        <v>0</v>
      </c>
      <c r="E8" s="61">
        <v>302.5</v>
      </c>
      <c r="F8" s="62">
        <f>C8+D8+E8</f>
        <v>336.58</v>
      </c>
      <c r="G8" s="66">
        <v>1.21</v>
      </c>
      <c r="H8" s="2" t="s">
        <v>157</v>
      </c>
      <c r="I8" s="5"/>
      <c r="J8" s="64">
        <f>F8/G8</f>
        <v>278.16528925619832</v>
      </c>
      <c r="K8" s="5"/>
      <c r="L8" s="62">
        <f>$L$3*(C8+D8)</f>
        <v>186.07679999999999</v>
      </c>
      <c r="M8" s="131">
        <f t="shared" si="0"/>
        <v>1</v>
      </c>
      <c r="N8" s="131">
        <f t="shared" si="1"/>
        <v>0</v>
      </c>
      <c r="O8" s="122"/>
    </row>
    <row r="9" spans="1:15" x14ac:dyDescent="0.25">
      <c r="A9" t="s">
        <v>142</v>
      </c>
      <c r="B9" s="2" t="s">
        <v>139</v>
      </c>
      <c r="C9" s="61">
        <f>56.06*3</f>
        <v>168.18</v>
      </c>
      <c r="D9" s="61">
        <v>348.75</v>
      </c>
      <c r="E9" s="61">
        <v>675</v>
      </c>
      <c r="F9" s="62">
        <f>E9+D9+C9</f>
        <v>1191.93</v>
      </c>
      <c r="G9" s="65">
        <v>61</v>
      </c>
      <c r="H9" s="2" t="s">
        <v>146</v>
      </c>
      <c r="I9" s="5"/>
      <c r="J9" s="5"/>
      <c r="K9" s="64">
        <f>F9/G9</f>
        <v>19.539836065573773</v>
      </c>
      <c r="L9" s="62">
        <f>$L$3*(C9+D9)</f>
        <v>2822.4378000000002</v>
      </c>
      <c r="M9" s="131">
        <f t="shared" si="0"/>
        <v>0.32534385700191515</v>
      </c>
      <c r="N9" s="131">
        <f t="shared" si="1"/>
        <v>0.67465614299808485</v>
      </c>
      <c r="O9" s="122"/>
    </row>
    <row r="10" spans="1:15" x14ac:dyDescent="0.25">
      <c r="A10" t="s">
        <v>143</v>
      </c>
      <c r="B10" s="2" t="s">
        <v>139</v>
      </c>
      <c r="C10" s="61">
        <f>C9</f>
        <v>168.18</v>
      </c>
      <c r="D10" s="61">
        <v>348.75</v>
      </c>
      <c r="E10" s="61">
        <v>0</v>
      </c>
      <c r="F10" s="62">
        <f>E10+D10+C10</f>
        <v>516.93000000000006</v>
      </c>
      <c r="G10" s="65">
        <v>240</v>
      </c>
      <c r="H10" s="2" t="s">
        <v>146</v>
      </c>
      <c r="I10" s="5"/>
      <c r="J10" s="5"/>
      <c r="K10" s="64">
        <f>F10/G10</f>
        <v>2.1538750000000002</v>
      </c>
      <c r="L10" s="62">
        <f>$L$3*(C10+D10)</f>
        <v>2822.4378000000002</v>
      </c>
      <c r="M10" s="131">
        <f t="shared" si="0"/>
        <v>0.32534385700191515</v>
      </c>
      <c r="N10" s="131">
        <f t="shared" si="1"/>
        <v>0.67465614299808485</v>
      </c>
      <c r="O10" s="122"/>
    </row>
    <row r="11" spans="1:15" x14ac:dyDescent="0.25">
      <c r="A11" t="s">
        <v>187</v>
      </c>
      <c r="B11" s="2" t="s">
        <v>139</v>
      </c>
      <c r="C11" s="61">
        <v>56.29</v>
      </c>
      <c r="D11" s="61">
        <v>31.375</v>
      </c>
      <c r="E11" s="61">
        <v>0</v>
      </c>
      <c r="F11" s="62">
        <f>E11+D11+C11</f>
        <v>87.664999999999992</v>
      </c>
      <c r="G11" s="73">
        <v>40</v>
      </c>
      <c r="H11" s="2" t="s">
        <v>146</v>
      </c>
      <c r="I11" s="64"/>
      <c r="J11" s="5"/>
      <c r="K11" s="64">
        <f>F11/G11</f>
        <v>2.1916249999999997</v>
      </c>
      <c r="L11" s="62">
        <f>$L$3*(C11+D11)</f>
        <v>478.65089999999998</v>
      </c>
      <c r="M11" s="131">
        <f t="shared" si="0"/>
        <v>0.64210346204300461</v>
      </c>
      <c r="N11" s="131">
        <f t="shared" si="1"/>
        <v>0.35789653795699539</v>
      </c>
      <c r="O11" s="122"/>
    </row>
    <row r="12" spans="1:15" x14ac:dyDescent="0.25">
      <c r="A12" t="s">
        <v>158</v>
      </c>
      <c r="B12" s="227" t="s">
        <v>149</v>
      </c>
      <c r="C12" s="61"/>
      <c r="D12" s="61"/>
      <c r="E12" s="61">
        <v>302.5</v>
      </c>
      <c r="F12" s="62"/>
      <c r="G12" s="65"/>
      <c r="H12" s="2"/>
      <c r="I12" s="5"/>
      <c r="J12" s="67">
        <f>E12</f>
        <v>302.5</v>
      </c>
      <c r="K12" s="64"/>
      <c r="L12" s="61"/>
      <c r="M12" s="131"/>
      <c r="N12" s="131"/>
      <c r="O12" s="122"/>
    </row>
    <row r="13" spans="1:15" x14ac:dyDescent="0.25">
      <c r="A13" t="s">
        <v>184</v>
      </c>
      <c r="B13" s="2" t="s">
        <v>139</v>
      </c>
      <c r="C13" s="61">
        <v>0</v>
      </c>
      <c r="D13" s="61">
        <v>81.73</v>
      </c>
      <c r="E13" s="61">
        <v>0</v>
      </c>
      <c r="F13" s="62">
        <f>E13+D13+C13</f>
        <v>81.73</v>
      </c>
      <c r="L13" s="62">
        <f>$L$3*(C13+D13)</f>
        <v>446.24580000000003</v>
      </c>
      <c r="M13" s="131">
        <f>C13/(C13+D13)</f>
        <v>0</v>
      </c>
      <c r="N13" s="131">
        <f>1-M13</f>
        <v>1</v>
      </c>
      <c r="O13" s="122"/>
    </row>
    <row r="14" spans="1:15" x14ac:dyDescent="0.25">
      <c r="B14" s="2"/>
      <c r="C14" s="61"/>
      <c r="D14" s="61"/>
      <c r="E14" s="61"/>
      <c r="F14" s="62"/>
      <c r="L14" s="64"/>
    </row>
    <row r="25" spans="1:1" x14ac:dyDescent="0.25">
      <c r="A25" s="68" t="s">
        <v>125</v>
      </c>
    </row>
    <row r="26" spans="1:1" x14ac:dyDescent="0.25">
      <c r="A26" s="69" t="s">
        <v>128</v>
      </c>
    </row>
    <row r="27" spans="1:1" x14ac:dyDescent="0.25">
      <c r="A27" s="70" t="s">
        <v>126</v>
      </c>
    </row>
    <row r="28" spans="1:1" x14ac:dyDescent="0.25">
      <c r="A28" s="71" t="s">
        <v>127</v>
      </c>
    </row>
  </sheetData>
  <sheetProtection password="C7C2" sheet="1"/>
  <phoneticPr fontId="17" type="noConversion"/>
  <printOptions horizontalCentered="1" verticalCentered="1" gridLines="1"/>
  <pageMargins left="0.75" right="0.75" top="1" bottom="1" header="0.5" footer="0.5"/>
  <pageSetup scale="75" orientation="landscape" r:id="rId1"/>
  <headerFooter alignWithMargins="0">
    <oddHeader>&amp;Z&amp;F&amp;RPage &amp;P</oddHeader>
    <oddFooter>&amp;LFrank Bergwall&amp;CPage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Cost Estimate</vt:lpstr>
      <vt:lpstr>Roads</vt:lpstr>
      <vt:lpstr>Drill Sites</vt:lpstr>
      <vt:lpstr>Sumps</vt:lpstr>
      <vt:lpstr>Trenches</vt:lpstr>
      <vt:lpstr>X-country</vt:lpstr>
      <vt:lpstr>LaborEquipMatls</vt:lpstr>
      <vt:lpstr>'Cost Estimate'!Print_Area</vt:lpstr>
      <vt:lpstr>'Drill Sites'!Print_Area</vt:lpstr>
      <vt:lpstr>LaborEquipMatls!Print_Area</vt:lpstr>
      <vt:lpstr>'Roads'!Print_Area</vt:lpstr>
      <vt:lpstr>Sumps!Print_Area</vt:lpstr>
      <vt:lpstr>Trenches!Print_Area</vt:lpstr>
      <vt:lpstr>'X-country'!Print_Area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David R</dc:creator>
  <cp:lastModifiedBy>Atkinson, Daniel M</cp:lastModifiedBy>
  <cp:lastPrinted>2018-08-02T18:20:14Z</cp:lastPrinted>
  <dcterms:created xsi:type="dcterms:W3CDTF">2002-02-09T00:54:01Z</dcterms:created>
  <dcterms:modified xsi:type="dcterms:W3CDTF">2023-08-10T02:47:54Z</dcterms:modified>
</cp:coreProperties>
</file>