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NSO\SRCE_HLDE_PFCE\Notice_Model_Updates\2021 Update\"/>
    </mc:Choice>
  </mc:AlternateContent>
  <xr:revisionPtr revIDLastSave="0" documentId="13_ncr:1_{0698C020-1902-4831-87C2-43663BB75B13}" xr6:coauthVersionLast="47" xr6:coauthVersionMax="47" xr10:uidLastSave="{00000000-0000-0000-0000-000000000000}"/>
  <workbookProtection workbookPassword="DD80" lockStructure="1"/>
  <bookViews>
    <workbookView xWindow="-120" yWindow="-120" windowWidth="29040" windowHeight="15840" xr2:uid="{00000000-000D-0000-FFFF-FFFF00000000}"/>
  </bookViews>
  <sheets>
    <sheet name="Cost Estimate" sheetId="1" r:id="rId1"/>
    <sheet name="Roads" sheetId="2" state="hidden" r:id="rId2"/>
    <sheet name="Drill Sites" sheetId="4" state="hidden" r:id="rId3"/>
    <sheet name="Sumps" sheetId="5" state="hidden" r:id="rId4"/>
    <sheet name="Trenches" sheetId="6" state="hidden" r:id="rId5"/>
    <sheet name="X-country" sheetId="3" state="hidden" r:id="rId6"/>
    <sheet name="LaborEquipMatls" sheetId="7" state="hidden" r:id="rId7"/>
  </sheets>
  <definedNames>
    <definedName name="_xlnm.Print_Area" localSheetId="0">'Cost Estimate'!$A$1:$I$108</definedName>
    <definedName name="_xlnm.Print_Area" localSheetId="2">'Drill Sites'!$A$1:$N$12</definedName>
    <definedName name="_xlnm.Print_Area" localSheetId="6">LaborEquipMatls!$A$1:$N$28</definedName>
    <definedName name="_xlnm.Print_Area" localSheetId="1">Roads!$A$1:$M$12</definedName>
    <definedName name="_xlnm.Print_Area" localSheetId="3">Sumps!$A$1:$P$11</definedName>
    <definedName name="_xlnm.Print_Area" localSheetId="4">Trenches!$A$1:$N$11</definedName>
    <definedName name="_xlnm.Print_Area" localSheetId="5">'X-country'!$A$1:$H$17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E32" i="1"/>
  <c r="E23" i="1"/>
  <c r="F23" i="1"/>
  <c r="E24" i="1"/>
  <c r="D24" i="1"/>
  <c r="J24" i="1" s="1"/>
  <c r="I23" i="1"/>
  <c r="I24" i="1"/>
  <c r="C4" i="2"/>
  <c r="J4" i="2" s="1"/>
  <c r="C5" i="2"/>
  <c r="D4" i="4"/>
  <c r="K4" i="4" s="1"/>
  <c r="D5" i="4"/>
  <c r="D6" i="4"/>
  <c r="K6" i="4" s="1"/>
  <c r="B13" i="1"/>
  <c r="E5" i="5" s="1"/>
  <c r="C5" i="6"/>
  <c r="J5" i="6" s="1"/>
  <c r="K5" i="6" s="1"/>
  <c r="K7" i="6" s="1"/>
  <c r="E4" i="3"/>
  <c r="D15" i="3"/>
  <c r="G15" i="3" s="1"/>
  <c r="H15" i="3" s="1"/>
  <c r="D14" i="3"/>
  <c r="G14" i="3"/>
  <c r="H14" i="3" s="1"/>
  <c r="D13" i="3"/>
  <c r="G13" i="3" s="1"/>
  <c r="H13" i="3" s="1"/>
  <c r="D12" i="3"/>
  <c r="G12" i="3" s="1"/>
  <c r="D11" i="3"/>
  <c r="G11" i="3" s="1"/>
  <c r="H11" i="3" s="1"/>
  <c r="D10" i="3"/>
  <c r="G10" i="3" s="1"/>
  <c r="H10" i="3" s="1"/>
  <c r="D9" i="3"/>
  <c r="G9" i="3" s="1"/>
  <c r="H9" i="3" s="1"/>
  <c r="D8" i="3"/>
  <c r="G8" i="3" s="1"/>
  <c r="H8" i="3" s="1"/>
  <c r="D7" i="3"/>
  <c r="D6" i="3"/>
  <c r="G6" i="3"/>
  <c r="H6" i="3" s="1"/>
  <c r="D5" i="3"/>
  <c r="G5" i="3" s="1"/>
  <c r="H5" i="3" s="1"/>
  <c r="J12" i="7"/>
  <c r="C9" i="7"/>
  <c r="C10" i="7" s="1"/>
  <c r="D29" i="1"/>
  <c r="D28" i="1"/>
  <c r="D27" i="1"/>
  <c r="D17" i="1"/>
  <c r="D16" i="1"/>
  <c r="D12" i="1"/>
  <c r="D11" i="1"/>
  <c r="D10" i="1"/>
  <c r="D7" i="1"/>
  <c r="D6" i="1"/>
  <c r="D23" i="1"/>
  <c r="J23" i="1" s="1"/>
  <c r="H16" i="1"/>
  <c r="I16" i="1" s="1"/>
  <c r="H29" i="1"/>
  <c r="I29" i="1" s="1"/>
  <c r="H10" i="1"/>
  <c r="I10" i="1" s="1"/>
  <c r="H13" i="1"/>
  <c r="H20" i="1"/>
  <c r="H27" i="1"/>
  <c r="I27" i="1" s="1"/>
  <c r="I32" i="1"/>
  <c r="H6" i="1"/>
  <c r="I6" i="1" s="1"/>
  <c r="H7" i="1"/>
  <c r="I7" i="1" s="1"/>
  <c r="H11" i="1"/>
  <c r="I11" i="1" s="1"/>
  <c r="H17" i="1"/>
  <c r="I17" i="1" s="1"/>
  <c r="I33" i="1"/>
  <c r="H28" i="1"/>
  <c r="I28" i="1" s="1"/>
  <c r="D32" i="1"/>
  <c r="J32" i="1" s="1"/>
  <c r="E33" i="1"/>
  <c r="D33" i="1"/>
  <c r="J33" i="1" s="1"/>
  <c r="L6" i="1"/>
  <c r="L7" i="1"/>
  <c r="L10" i="1"/>
  <c r="L11" i="1"/>
  <c r="G12" i="1"/>
  <c r="H12" i="1" s="1"/>
  <c r="I12" i="1" s="1"/>
  <c r="L16" i="1"/>
  <c r="L17" i="1"/>
  <c r="L23" i="1"/>
  <c r="L24" i="1"/>
  <c r="L27" i="1"/>
  <c r="L28" i="1"/>
  <c r="L29" i="1"/>
  <c r="K7" i="1"/>
  <c r="K10" i="1"/>
  <c r="K11" i="1"/>
  <c r="K12" i="1"/>
  <c r="K16" i="1"/>
  <c r="K17" i="1"/>
  <c r="K27" i="1"/>
  <c r="K28" i="1"/>
  <c r="K29" i="1"/>
  <c r="J6" i="1"/>
  <c r="J7" i="1"/>
  <c r="J10" i="1"/>
  <c r="J11" i="1"/>
  <c r="J12" i="1"/>
  <c r="J16" i="1"/>
  <c r="J17" i="1"/>
  <c r="J27" i="1"/>
  <c r="J28" i="1"/>
  <c r="J29" i="1"/>
  <c r="A1" i="1"/>
  <c r="H6" i="4"/>
  <c r="J6" i="4" s="1"/>
  <c r="H4" i="4"/>
  <c r="J4" i="4" s="1"/>
  <c r="S4" i="4" s="1"/>
  <c r="T4" i="4" s="1"/>
  <c r="AG6" i="4"/>
  <c r="AH6" i="4" s="1"/>
  <c r="AL6" i="4" s="1"/>
  <c r="U6" i="4"/>
  <c r="V6" i="4" s="1"/>
  <c r="Z6" i="4" s="1"/>
  <c r="AM6" i="4"/>
  <c r="AA6" i="4"/>
  <c r="M5" i="6"/>
  <c r="N5" i="6" s="1"/>
  <c r="N7" i="6" s="1"/>
  <c r="AL4" i="2"/>
  <c r="AF4" i="2"/>
  <c r="AG4" i="2" s="1"/>
  <c r="AK4" i="2" s="1"/>
  <c r="Z4" i="2"/>
  <c r="T4" i="2"/>
  <c r="U4" i="2" s="1"/>
  <c r="Y4" i="2" s="1"/>
  <c r="B5" i="2"/>
  <c r="AL5" i="2" s="1"/>
  <c r="AF5" i="2"/>
  <c r="AG5" i="2" s="1"/>
  <c r="AK5" i="2" s="1"/>
  <c r="T5" i="2"/>
  <c r="U5" i="2" s="1"/>
  <c r="Y5" i="2" s="1"/>
  <c r="AM4" i="4"/>
  <c r="AG4" i="4"/>
  <c r="AH4" i="4" s="1"/>
  <c r="AL4" i="4" s="1"/>
  <c r="AA4" i="4"/>
  <c r="U4" i="4"/>
  <c r="V4" i="4" s="1"/>
  <c r="Z4" i="4" s="1"/>
  <c r="AM5" i="4"/>
  <c r="AG5" i="4"/>
  <c r="AH5" i="4" s="1"/>
  <c r="AL5" i="4" s="1"/>
  <c r="H5" i="4"/>
  <c r="J5" i="4" s="1"/>
  <c r="AA5" i="4"/>
  <c r="U5" i="4"/>
  <c r="V5" i="4"/>
  <c r="Z5" i="4" s="1"/>
  <c r="H5" i="5"/>
  <c r="L5" i="5" s="1"/>
  <c r="D4" i="3"/>
  <c r="G4" i="3"/>
  <c r="H4" i="3" s="1"/>
  <c r="AY4" i="2"/>
  <c r="AZ4" i="2" s="1"/>
  <c r="P5" i="6"/>
  <c r="P7" i="6" s="1"/>
  <c r="A2" i="5"/>
  <c r="F24" i="1"/>
  <c r="F32" i="1"/>
  <c r="F33" i="1"/>
  <c r="M13" i="7"/>
  <c r="N13" i="7"/>
  <c r="M11" i="7"/>
  <c r="N11" i="7" s="1"/>
  <c r="M8" i="7"/>
  <c r="N8" i="7"/>
  <c r="M7" i="7"/>
  <c r="N7" i="7"/>
  <c r="M6" i="7"/>
  <c r="N6" i="7" s="1"/>
  <c r="M5" i="7"/>
  <c r="N5" i="7"/>
  <c r="M4" i="7"/>
  <c r="N4" i="7" s="1"/>
  <c r="L3" i="7"/>
  <c r="L9" i="7" s="1"/>
  <c r="L13" i="7"/>
  <c r="H31" i="1"/>
  <c r="F11" i="7"/>
  <c r="K11" i="7" s="1"/>
  <c r="F13" i="7"/>
  <c r="J5" i="5"/>
  <c r="K5" i="5"/>
  <c r="K7" i="5" s="1"/>
  <c r="C7" i="5"/>
  <c r="F9" i="7"/>
  <c r="K9" i="7" s="1"/>
  <c r="F8" i="7"/>
  <c r="J8" i="7"/>
  <c r="F7" i="7"/>
  <c r="J7" i="7"/>
  <c r="F6" i="7"/>
  <c r="I6" i="7"/>
  <c r="F5" i="7"/>
  <c r="I5" i="7" s="1"/>
  <c r="F4" i="7"/>
  <c r="I4" i="7"/>
  <c r="A2" i="6"/>
  <c r="A2" i="4"/>
  <c r="A2" i="3"/>
  <c r="A2" i="2"/>
  <c r="D13" i="1"/>
  <c r="J13" i="1"/>
  <c r="K13" i="1"/>
  <c r="G4" i="2"/>
  <c r="I4" i="2" s="1"/>
  <c r="K5" i="4"/>
  <c r="G5" i="2"/>
  <c r="I5" i="2"/>
  <c r="AD5" i="2" s="1"/>
  <c r="AE5" i="2" s="1"/>
  <c r="AH5" i="2" s="1"/>
  <c r="AY5" i="2"/>
  <c r="AV5" i="2"/>
  <c r="AW5" i="2" s="1"/>
  <c r="E17" i="3"/>
  <c r="G7" i="3"/>
  <c r="H7" i="3" s="1"/>
  <c r="L7" i="7"/>
  <c r="L8" i="7"/>
  <c r="L11" i="7"/>
  <c r="Q5" i="2"/>
  <c r="AC5" i="2" s="1"/>
  <c r="L12" i="1"/>
  <c r="AE6" i="4" l="1"/>
  <c r="AF6" i="4" s="1"/>
  <c r="AI6" i="4" s="1"/>
  <c r="S6" i="4"/>
  <c r="T6" i="4" s="1"/>
  <c r="M5" i="5"/>
  <c r="N5" i="5" s="1"/>
  <c r="O5" i="5" s="1"/>
  <c r="L7" i="5"/>
  <c r="S5" i="4"/>
  <c r="T5" i="4" s="1"/>
  <c r="AE5" i="4"/>
  <c r="AF5" i="4" s="1"/>
  <c r="AI5" i="4" s="1"/>
  <c r="Q4" i="2"/>
  <c r="R4" i="2"/>
  <c r="S4" i="2" s="1"/>
  <c r="W4" i="2" s="1"/>
  <c r="AD4" i="2"/>
  <c r="AE4" i="2" s="1"/>
  <c r="AH4" i="2" s="1"/>
  <c r="AO6" i="4"/>
  <c r="R5" i="5"/>
  <c r="R7" i="5" s="1"/>
  <c r="K33" i="1"/>
  <c r="D17" i="3"/>
  <c r="K32" i="1"/>
  <c r="D8" i="4"/>
  <c r="K24" i="1"/>
  <c r="K23" i="1"/>
  <c r="C7" i="6"/>
  <c r="C38" i="1" s="1"/>
  <c r="C7" i="2"/>
  <c r="C35" i="1" s="1"/>
  <c r="I13" i="1"/>
  <c r="L13" i="1"/>
  <c r="F5" i="6"/>
  <c r="G5" i="6" s="1"/>
  <c r="I5" i="6" s="1"/>
  <c r="I7" i="6" s="1"/>
  <c r="W6" i="4"/>
  <c r="X6" i="4"/>
  <c r="L10" i="7"/>
  <c r="M10" i="7"/>
  <c r="N10" i="7" s="1"/>
  <c r="F10" i="7"/>
  <c r="K10" i="7" s="1"/>
  <c r="AO5" i="4"/>
  <c r="H12" i="3"/>
  <c r="G17" i="3"/>
  <c r="AC6" i="4"/>
  <c r="AP6" i="4" s="1"/>
  <c r="X4" i="2"/>
  <c r="AC4" i="2"/>
  <c r="AC4" i="4"/>
  <c r="X4" i="4"/>
  <c r="W4" i="4"/>
  <c r="AN5" i="2"/>
  <c r="AN4" i="2"/>
  <c r="AI5" i="2"/>
  <c r="AJ5" i="2"/>
  <c r="AM5" i="2" s="1"/>
  <c r="X5" i="4"/>
  <c r="W5" i="4"/>
  <c r="AC5" i="4" s="1"/>
  <c r="C39" i="1"/>
  <c r="R6" i="4"/>
  <c r="R5" i="4"/>
  <c r="AV4" i="2"/>
  <c r="AV8" i="2" s="1"/>
  <c r="R5" i="2"/>
  <c r="S5" i="2" s="1"/>
  <c r="R4" i="4"/>
  <c r="Z5" i="2"/>
  <c r="J5" i="2"/>
  <c r="X5" i="2"/>
  <c r="AE4" i="4"/>
  <c r="AF4" i="4" s="1"/>
  <c r="AI4" i="4" s="1"/>
  <c r="AO4" i="4" s="1"/>
  <c r="AP4" i="4" s="1"/>
  <c r="M9" i="7"/>
  <c r="N9" i="7" s="1"/>
  <c r="H17" i="3"/>
  <c r="D39" i="1" s="1"/>
  <c r="AY8" i="2"/>
  <c r="D38" i="1"/>
  <c r="B38" i="1"/>
  <c r="P5" i="5"/>
  <c r="P7" i="5" s="1"/>
  <c r="B37" i="1" s="1"/>
  <c r="F5" i="5"/>
  <c r="G5" i="5" s="1"/>
  <c r="G7" i="5" s="1"/>
  <c r="E7" i="5"/>
  <c r="V4" i="2" l="1"/>
  <c r="AB4" i="2" s="1"/>
  <c r="AO4" i="2" s="1"/>
  <c r="B39" i="1"/>
  <c r="AR6" i="4"/>
  <c r="M6" i="4"/>
  <c r="O6" i="4"/>
  <c r="M4" i="4"/>
  <c r="O4" i="4"/>
  <c r="AR4" i="4"/>
  <c r="AD5" i="4"/>
  <c r="Y5" i="4"/>
  <c r="AP5" i="4"/>
  <c r="AD4" i="4"/>
  <c r="Y4" i="4"/>
  <c r="I5" i="5"/>
  <c r="I7" i="5" s="1"/>
  <c r="Y6" i="4"/>
  <c r="AD6" i="4"/>
  <c r="AI4" i="2"/>
  <c r="AJ4" i="2"/>
  <c r="AM4" i="2" s="1"/>
  <c r="V5" i="2"/>
  <c r="AS5" i="2" s="1"/>
  <c r="AT5" i="2" s="1"/>
  <c r="BB5" i="2" s="1"/>
  <c r="W5" i="2"/>
  <c r="O4" i="2"/>
  <c r="P4" i="2" s="1"/>
  <c r="AW4" i="2" s="1"/>
  <c r="AW8" i="2" s="1"/>
  <c r="AS4" i="2"/>
  <c r="AT4" i="2" s="1"/>
  <c r="BB4" i="2" s="1"/>
  <c r="D37" i="1"/>
  <c r="AQ4" i="2" l="1"/>
  <c r="L4" i="2"/>
  <c r="N4" i="2"/>
  <c r="AA4" i="2"/>
  <c r="AP4" i="2"/>
  <c r="AR4" i="2"/>
  <c r="M4" i="2"/>
  <c r="K4" i="2"/>
  <c r="AJ4" i="4"/>
  <c r="AQ4" i="4" s="1"/>
  <c r="AK4" i="4"/>
  <c r="AN4" i="4" s="1"/>
  <c r="AR5" i="4"/>
  <c r="O5" i="4"/>
  <c r="O8" i="4" s="1"/>
  <c r="D36" i="1" s="1"/>
  <c r="M5" i="4"/>
  <c r="BB8" i="2"/>
  <c r="O5" i="2"/>
  <c r="P5" i="2" s="1"/>
  <c r="AT6" i="4"/>
  <c r="AU6" i="4" s="1"/>
  <c r="AB6" i="4"/>
  <c r="P6" i="4"/>
  <c r="Q6" i="4" s="1"/>
  <c r="AB5" i="2"/>
  <c r="AO5" i="2" s="1"/>
  <c r="AJ6" i="4"/>
  <c r="AQ6" i="4" s="1"/>
  <c r="AK6" i="4"/>
  <c r="AN6" i="4" s="1"/>
  <c r="AA5" i="2"/>
  <c r="P5" i="4"/>
  <c r="Q5" i="4" s="1"/>
  <c r="AB5" i="4"/>
  <c r="AT5" i="4"/>
  <c r="AU5" i="4" s="1"/>
  <c r="P4" i="4"/>
  <c r="Q4" i="4" s="1"/>
  <c r="AT4" i="4"/>
  <c r="AU4" i="4" s="1"/>
  <c r="AB4" i="4"/>
  <c r="AK5" i="4"/>
  <c r="AN5" i="4" s="1"/>
  <c r="AJ5" i="4"/>
  <c r="AQ5" i="4" s="1"/>
  <c r="P7" i="2" l="1"/>
  <c r="AZ5" i="2"/>
  <c r="AZ8" i="2" s="1"/>
  <c r="N4" i="4"/>
  <c r="L4" i="4"/>
  <c r="AS4" i="4"/>
  <c r="N5" i="4"/>
  <c r="AS5" i="4"/>
  <c r="L5" i="4"/>
  <c r="N5" i="2"/>
  <c r="N7" i="2" s="1"/>
  <c r="D35" i="1" s="1"/>
  <c r="D40" i="1" s="1"/>
  <c r="B20" i="1" s="1"/>
  <c r="L5" i="2"/>
  <c r="AQ5" i="2"/>
  <c r="AP5" i="2"/>
  <c r="N6" i="4"/>
  <c r="L6" i="4"/>
  <c r="AS6" i="4"/>
  <c r="I20" i="1" l="1"/>
  <c r="L20" i="1"/>
  <c r="L36" i="1" s="1"/>
  <c r="K20" i="1"/>
  <c r="K36" i="1" s="1"/>
  <c r="D20" i="1"/>
  <c r="I40" i="1" s="1"/>
  <c r="I44" i="1" s="1"/>
  <c r="J20" i="1"/>
  <c r="J36" i="1" s="1"/>
  <c r="M5" i="2"/>
  <c r="M7" i="2" s="1"/>
  <c r="B35" i="1" s="1"/>
  <c r="K5" i="2"/>
  <c r="AR5" i="2"/>
  <c r="N8" i="4"/>
  <c r="B36" i="1" s="1"/>
  <c r="B40" i="1" l="1"/>
  <c r="I36" i="1" s="1"/>
  <c r="M36" i="1"/>
  <c r="J38" i="1" l="1"/>
  <c r="L38" i="1"/>
  <c r="K38" i="1"/>
  <c r="I47" i="1"/>
  <c r="I48" i="1" s="1"/>
  <c r="H43" i="1"/>
  <c r="I45" i="1" s="1"/>
  <c r="I46" i="1"/>
  <c r="I51" i="1" l="1"/>
  <c r="I53" i="1" s="1"/>
  <c r="J53" i="1" s="1"/>
  <c r="D53" i="1" s="1"/>
  <c r="I42" i="1" l="1"/>
</calcChain>
</file>

<file path=xl/sharedStrings.xml><?xml version="1.0" encoding="utf-8"?>
<sst xmlns="http://schemas.openxmlformats.org/spreadsheetml/2006/main" count="408" uniqueCount="283">
  <si>
    <t>Cost/Linear Foot</t>
  </si>
  <si>
    <t>Linear Feet of Road</t>
  </si>
  <si>
    <t>Linear</t>
  </si>
  <si>
    <t>Manpower</t>
  </si>
  <si>
    <t>Equipment</t>
  </si>
  <si>
    <t>Materials</t>
  </si>
  <si>
    <t>Road Reclamation</t>
  </si>
  <si>
    <t>On a Side Slope</t>
  </si>
  <si>
    <t>Feet</t>
  </si>
  <si>
    <t>&lt;30%</t>
  </si>
  <si>
    <t>Recontouring Cost</t>
  </si>
  <si>
    <t>&gt;30%</t>
  </si>
  <si>
    <t>Revegetation Cost</t>
  </si>
  <si>
    <t>Reclamation</t>
  </si>
  <si>
    <t>Cost/Foot</t>
  </si>
  <si>
    <t>#/Feet</t>
  </si>
  <si>
    <t>Drill Hole Plugging</t>
  </si>
  <si>
    <t>Feet of Open Holes - Wet</t>
  </si>
  <si>
    <t>Feet of Open Holes - Dry</t>
  </si>
  <si>
    <t>Insurance</t>
  </si>
  <si>
    <t>Total Labor</t>
  </si>
  <si>
    <t>Total Reclamation Cost</t>
  </si>
  <si>
    <t>Labor Cost</t>
  </si>
  <si>
    <t>Drill Holes Open</t>
  </si>
  <si>
    <t>Total Administration Cost</t>
  </si>
  <si>
    <t>1.5% Labor Cost</t>
  </si>
  <si>
    <t>Contractor Profit</t>
  </si>
  <si>
    <t>Bond Condition</t>
  </si>
  <si>
    <t>Mobilization Cost - Wet</t>
  </si>
  <si>
    <t>Mobilization Cost - Dry</t>
  </si>
  <si>
    <t>Recontouring Cost &lt;30%</t>
  </si>
  <si>
    <t>Recontouring Cost &gt;30%</t>
  </si>
  <si>
    <t>Plugging Cost - Wet</t>
  </si>
  <si>
    <t>Plugging Cost - Dry</t>
  </si>
  <si>
    <t>Indirect Costs</t>
  </si>
  <si>
    <t>Financial Guarantee</t>
  </si>
  <si>
    <t>Amount</t>
  </si>
  <si>
    <t>3% Total Reclamation Cost</t>
  </si>
  <si>
    <t>10% Total Reclamation Cost</t>
  </si>
  <si>
    <t>Contract Administration</t>
  </si>
  <si>
    <t>21% of Contract Administration Cost</t>
  </si>
  <si>
    <t>2-track ID</t>
  </si>
  <si>
    <t>Total Acres</t>
  </si>
  <si>
    <t>total Notice acres</t>
  </si>
  <si>
    <t>Width in feet (Wt)</t>
  </si>
  <si>
    <t>Length in feet (L)</t>
  </si>
  <si>
    <t>depth</t>
  </si>
  <si>
    <t>Sump Vol in c.f.</t>
  </si>
  <si>
    <t>Sump Vol in c.y.</t>
  </si>
  <si>
    <t>Swell factor</t>
  </si>
  <si>
    <t>Regrade volume</t>
  </si>
  <si>
    <t>Muck pile height in ft. @ 2:1</t>
  </si>
  <si>
    <t>Width of muck pile in ft. @ 2:1 (Wm)</t>
  </si>
  <si>
    <t>Acres of Sump + muck pile</t>
  </si>
  <si>
    <t>Sump</t>
  </si>
  <si>
    <t>SUMP DIMENSIONS</t>
  </si>
  <si>
    <t>W*L*D</t>
  </si>
  <si>
    <t>(W*L*D)/27</t>
  </si>
  <si>
    <t xml:space="preserve"> G3*F3</t>
  </si>
  <si>
    <t>W*L</t>
  </si>
  <si>
    <t>(W*L)/43560</t>
  </si>
  <si>
    <t>W*D * swell factor</t>
  </si>
  <si>
    <t>(Wt+Wm)*L / 43560</t>
  </si>
  <si>
    <t>Total</t>
  </si>
  <si>
    <t>FILL</t>
  </si>
  <si>
    <t>CUT</t>
  </si>
  <si>
    <t xml:space="preserve">TOTAL ROAD </t>
  </si>
  <si>
    <t>Width in feet</t>
  </si>
  <si>
    <t>Length in feet</t>
  </si>
  <si>
    <t xml:space="preserve">Hill slope % </t>
  </si>
  <si>
    <t>Angle of Repose of Fill degrees</t>
  </si>
  <si>
    <t>Angle of cutbank degrees</t>
  </si>
  <si>
    <t>Arctan of Hill slope %</t>
  </si>
  <si>
    <t>Hill slope degrees</t>
  </si>
  <si>
    <t>Road surface area in acres</t>
  </si>
  <si>
    <t>Map width of disturb. per lin ft</t>
  </si>
  <si>
    <t>Slope corr. width of disturb. per lin. ft</t>
  </si>
  <si>
    <t>Total dis-turbance area in map acres</t>
  </si>
  <si>
    <t>Total dis-turbance area in slope corr. acres</t>
  </si>
  <si>
    <t>Regrade volume: CY per linear foot</t>
  </si>
  <si>
    <t>Total Regrade Volume CY</t>
  </si>
  <si>
    <t>Hill slope (Angle B) in radians</t>
  </si>
  <si>
    <t>Angle Af</t>
  </si>
  <si>
    <t>Angle Af in radians</t>
  </si>
  <si>
    <t>Angle Cf</t>
  </si>
  <si>
    <t>Angle Cf in radians</t>
  </si>
  <si>
    <t>sin Af</t>
  </si>
  <si>
    <t>cos Af</t>
  </si>
  <si>
    <t>sin Bf</t>
  </si>
  <si>
    <t>sin Cf</t>
  </si>
  <si>
    <t>side a</t>
  </si>
  <si>
    <t>side b</t>
  </si>
  <si>
    <t>side c</t>
  </si>
  <si>
    <t>Hill slope (Angle Bc) in radians</t>
  </si>
  <si>
    <t>Angle Ac</t>
  </si>
  <si>
    <t>Angle Ac in radians</t>
  </si>
  <si>
    <t>Angle Cc</t>
  </si>
  <si>
    <t>Angle Cc in radians</t>
  </si>
  <si>
    <t>sin Ac</t>
  </si>
  <si>
    <t>cos B</t>
  </si>
  <si>
    <t>sin Bc</t>
  </si>
  <si>
    <t>sin Cc</t>
  </si>
  <si>
    <t>Slope corr. width of road disturb. per lin. ft</t>
  </si>
  <si>
    <t>Map width of road disturb. per lin ft</t>
  </si>
  <si>
    <t>Slope corrected acres</t>
  </si>
  <si>
    <t>Map acres</t>
  </si>
  <si>
    <t>Regrade volume per linear foot in c.y.</t>
  </si>
  <si>
    <t>Total regrade volume</t>
  </si>
  <si>
    <t>Length on Map in Inches</t>
  </si>
  <si>
    <t>Square Feet of Disturbance</t>
  </si>
  <si>
    <t>Acres of Disturbance</t>
  </si>
  <si>
    <t>Map Scale in Feet per Inch</t>
  </si>
  <si>
    <t>Swell Factor</t>
  </si>
  <si>
    <t>Total Disturbance Width Both Tracks</t>
  </si>
  <si>
    <t>Roads &lt;30% Linear Feet</t>
  </si>
  <si>
    <t>Roads &gt;30% Linear Feet</t>
  </si>
  <si>
    <t>Roads &lt;30% CY</t>
  </si>
  <si>
    <t>Total Linear Feet</t>
  </si>
  <si>
    <t>Cross Country Travel</t>
  </si>
  <si>
    <t>Trench</t>
  </si>
  <si>
    <t>Trench Vol in c.f.</t>
  </si>
  <si>
    <t>Trench Vol in c.y.</t>
  </si>
  <si>
    <t>Trench area in acres</t>
  </si>
  <si>
    <t>Acres of Trench + muck pile</t>
  </si>
  <si>
    <t>Trench DIMENSIONS</t>
  </si>
  <si>
    <t>black font are model constants</t>
  </si>
  <si>
    <t>blue font is for user input</t>
  </si>
  <si>
    <t>green font are referred cell values</t>
  </si>
  <si>
    <t>red font are calculated values</t>
  </si>
  <si>
    <t>Feet of Casing to Pull</t>
  </si>
  <si>
    <t>Pulling Casing</t>
  </si>
  <si>
    <t>Drill Sites &lt; 30% slopes</t>
  </si>
  <si>
    <t>Drill Sites &gt; 30% slopes</t>
  </si>
  <si>
    <t>Sumps</t>
  </si>
  <si>
    <t>Trenches</t>
  </si>
  <si>
    <t>35</t>
  </si>
  <si>
    <t xml:space="preserve">325 Excavator </t>
  </si>
  <si>
    <t>D6 Dozer</t>
  </si>
  <si>
    <t>cost per unit</t>
  </si>
  <si>
    <t>hour</t>
  </si>
  <si>
    <t>acre</t>
  </si>
  <si>
    <t>Total per unit</t>
  </si>
  <si>
    <t>Drill rig with crew; abandonment</t>
  </si>
  <si>
    <t>Drill rig with crew; pull casing</t>
  </si>
  <si>
    <t>units</t>
  </si>
  <si>
    <t>CY/hr</t>
  </si>
  <si>
    <t>ft/hr</t>
  </si>
  <si>
    <t>Seeding, Broadcast, contractor</t>
  </si>
  <si>
    <t>$/CY</t>
  </si>
  <si>
    <t>$/acre</t>
  </si>
  <si>
    <t>$/lin ft</t>
  </si>
  <si>
    <t>Roads &gt;30% CY</t>
  </si>
  <si>
    <t>Count How Many Roads</t>
  </si>
  <si>
    <t>Count How Many Sumps</t>
  </si>
  <si>
    <t>Count How Many Trenches</t>
  </si>
  <si>
    <t>D7 Dozer</t>
  </si>
  <si>
    <t>Seeding, Manual</t>
  </si>
  <si>
    <t>acre/hr</t>
  </si>
  <si>
    <t>Seed</t>
  </si>
  <si>
    <t>D-B Labor</t>
  </si>
  <si>
    <t>SRCE Equipment</t>
  </si>
  <si>
    <t>SRCE Materials</t>
  </si>
  <si>
    <t>SRCE Productivity</t>
  </si>
  <si>
    <t>Bureau of Land Management Notice Level Reclamation Cost Estimation Worksheet</t>
  </si>
  <si>
    <t>Road Segment Number</t>
  </si>
  <si>
    <t>Assumed Road Width in Feet</t>
  </si>
  <si>
    <t>black font cannot be changed</t>
  </si>
  <si>
    <t>blue font are for operator to enter values.</t>
  </si>
  <si>
    <t>green font are referred values but can be changed by operator.</t>
  </si>
  <si>
    <t>red font are calculated values with formulas that should not be changed</t>
  </si>
  <si>
    <t># of Drill Sites</t>
  </si>
  <si>
    <t>Slope corr. width of drill sites disturb. per lin. ft</t>
  </si>
  <si>
    <t>Map width of drill sites disturb. per lin ft</t>
  </si>
  <si>
    <t>Drill Sites surface area in acres</t>
  </si>
  <si>
    <t>Angle of cutbank in degrees</t>
  </si>
  <si>
    <t>depth in feet (D)</t>
  </si>
  <si>
    <t># of Sumps</t>
  </si>
  <si>
    <t>#*W*L*D</t>
  </si>
  <si>
    <t>there are no user inputs on this page</t>
  </si>
  <si>
    <t>cross section area of muck pile</t>
  </si>
  <si>
    <t>width of trench + muck pile</t>
  </si>
  <si>
    <t xml:space="preserve"> SQRT((W*D * swell factor)/2)</t>
  </si>
  <si>
    <t xml:space="preserve"> Muck pile height*4</t>
  </si>
  <si>
    <t>trench width + pile width</t>
  </si>
  <si>
    <t>Light truck</t>
  </si>
  <si>
    <t>Mobilization Cost-excavator</t>
  </si>
  <si>
    <t>Mobilization Cost-dozer</t>
  </si>
  <si>
    <t>Backhoe &amp; operator</t>
  </si>
  <si>
    <t>Mob+Demob</t>
  </si>
  <si>
    <t>% labor</t>
  </si>
  <si>
    <t>% equip</t>
  </si>
  <si>
    <t>hours</t>
  </si>
  <si>
    <t>Mobilization time one way</t>
  </si>
  <si>
    <t>reconcile</t>
  </si>
  <si>
    <r>
      <t>1.  There are two side hill slope categories used for all calculations in this worksheet.  All slopes under 30%(</t>
    </r>
    <r>
      <rPr>
        <b/>
        <sz val="10"/>
        <rFont val="Arial"/>
        <family val="2"/>
      </rPr>
      <t>&lt;30%</t>
    </r>
    <r>
      <rPr>
        <sz val="10"/>
        <rFont val="Arial"/>
        <family val="2"/>
      </rPr>
      <t>) are assumed to have a slope of 20%.</t>
    </r>
  </si>
  <si>
    <r>
      <t xml:space="preserve">2.  All </t>
    </r>
    <r>
      <rPr>
        <b/>
        <sz val="10"/>
        <rFont val="Arial"/>
        <family val="2"/>
      </rPr>
      <t>Roads</t>
    </r>
    <r>
      <rPr>
        <sz val="10"/>
        <rFont val="Arial"/>
        <family val="2"/>
      </rPr>
      <t xml:space="preserve"> in this worksheet are assumed to have a 14 foot wide dimension across the flat "driveable" part of the road without any safety berms.</t>
    </r>
  </si>
  <si>
    <r>
      <t xml:space="preserve">4.  All </t>
    </r>
    <r>
      <rPr>
        <b/>
        <sz val="10"/>
        <rFont val="Arial"/>
        <family val="2"/>
      </rPr>
      <t>Road</t>
    </r>
    <r>
      <rPr>
        <sz val="10"/>
        <rFont val="Arial"/>
        <family val="2"/>
      </rPr>
      <t xml:space="preserve"> and </t>
    </r>
    <r>
      <rPr>
        <b/>
        <sz val="10"/>
        <rFont val="Arial"/>
        <family val="2"/>
      </rPr>
      <t>Drill Sites</t>
    </r>
    <r>
      <rPr>
        <sz val="10"/>
        <rFont val="Arial"/>
        <family val="2"/>
      </rPr>
      <t xml:space="preserve"> cut banks are assumed to have a 60 degree slope.</t>
    </r>
  </si>
  <si>
    <r>
      <t xml:space="preserve">5.  All </t>
    </r>
    <r>
      <rPr>
        <b/>
        <sz val="10"/>
        <rFont val="Arial"/>
        <family val="2"/>
      </rPr>
      <t>Road</t>
    </r>
    <r>
      <rPr>
        <sz val="10"/>
        <rFont val="Arial"/>
        <family val="2"/>
      </rPr>
      <t xml:space="preserve"> and </t>
    </r>
    <r>
      <rPr>
        <b/>
        <sz val="10"/>
        <rFont val="Arial"/>
        <family val="2"/>
      </rPr>
      <t>Drill Sites</t>
    </r>
    <r>
      <rPr>
        <sz val="10"/>
        <rFont val="Arial"/>
        <family val="2"/>
      </rPr>
      <t xml:space="preserve"> fill slopes are assumed to have an angle of repose of 1.4H:1V or about 70% slope equal to a 35 degree angle.</t>
    </r>
  </si>
  <si>
    <r>
      <t xml:space="preserve">6.  </t>
    </r>
    <r>
      <rPr>
        <b/>
        <sz val="10"/>
        <rFont val="Arial"/>
        <family val="2"/>
      </rPr>
      <t>Roads</t>
    </r>
    <r>
      <rPr>
        <sz val="10"/>
        <rFont val="Arial"/>
        <family val="2"/>
      </rPr>
      <t xml:space="preserve"> are linear features and the units required for input to this worksheet are in linear feet. </t>
    </r>
  </si>
  <si>
    <r>
      <t xml:space="preserve">8.  Equipment operator </t>
    </r>
    <r>
      <rPr>
        <b/>
        <sz val="10"/>
        <rFont val="Arial"/>
        <family val="2"/>
      </rPr>
      <t>Manpower</t>
    </r>
    <r>
      <rPr>
        <sz val="10"/>
        <rFont val="Arial"/>
        <family val="2"/>
      </rPr>
      <t xml:space="preserve"> cost is based on Davis-Bacon wage rates for</t>
    </r>
    <r>
      <rPr>
        <sz val="10"/>
        <color indexed="10"/>
        <rFont val="Arial"/>
        <family val="2"/>
      </rPr>
      <t xml:space="preserve"> Northern Nevada.</t>
    </r>
    <r>
      <rPr>
        <sz val="10"/>
        <color indexed="8"/>
        <rFont val="Arial"/>
        <family val="2"/>
      </rPr>
      <t xml:space="preserve"> </t>
    </r>
  </si>
  <si>
    <r>
      <t xml:space="preserve">       </t>
    </r>
    <r>
      <rPr>
        <sz val="10"/>
        <rFont val="Arial"/>
        <family val="2"/>
      </rPr>
      <t xml:space="preserve">If a drill hole will not penetrate the static water level it may be abandoned as an </t>
    </r>
    <r>
      <rPr>
        <b/>
        <sz val="10"/>
        <rFont val="Arial"/>
        <family val="2"/>
      </rPr>
      <t xml:space="preserve"> Open Hole - Dry</t>
    </r>
    <r>
      <rPr>
        <sz val="10"/>
        <rFont val="Arial"/>
        <family val="2"/>
      </rPr>
      <t>.</t>
    </r>
  </si>
  <si>
    <t>Disturbance Type</t>
  </si>
  <si>
    <t>Ripping Cost</t>
  </si>
  <si>
    <t>manpower</t>
  </si>
  <si>
    <t>equip</t>
  </si>
  <si>
    <t>materials</t>
  </si>
  <si>
    <t>Cost per acre</t>
  </si>
  <si>
    <t>No. of Trenches</t>
  </si>
  <si>
    <t>sump width + pile width</t>
  </si>
  <si>
    <t>Trench area in s.f.</t>
  </si>
  <si>
    <t>Sump area in s.f.</t>
  </si>
  <si>
    <t>Sump area in acres</t>
  </si>
  <si>
    <t>Linear Feet calculated</t>
  </si>
  <si>
    <t>Linear Feet direct input</t>
  </si>
  <si>
    <t>Roads</t>
  </si>
  <si>
    <t>Drill Sites</t>
  </si>
  <si>
    <t>Cross Country</t>
  </si>
  <si>
    <t>Length of Road in Feet</t>
  </si>
  <si>
    <t>Number</t>
  </si>
  <si>
    <t>Linear Feet</t>
  </si>
  <si>
    <t>Cost each</t>
  </si>
  <si>
    <t>EXCESS ACRES</t>
  </si>
  <si>
    <t>green cells with blue font is for user input</t>
  </si>
  <si>
    <t>yellow cells are unit costs</t>
  </si>
  <si>
    <t>Pad&amp; Sump</t>
  </si>
  <si>
    <t>150 miles Mobilization</t>
  </si>
  <si>
    <t>Drill Sites Cross Country</t>
  </si>
  <si>
    <t>Drill Sites and Sumps</t>
  </si>
  <si>
    <t>Slope Acres</t>
  </si>
  <si>
    <t>Cost/Acre</t>
  </si>
  <si>
    <t xml:space="preserve">The model will generate approximately the same reclamation costs  as the SRCE model if the same inputs and assumptions are applied.   </t>
  </si>
  <si>
    <t>Below are the methods and assumptions used by this model to generate a Financial Guarantee Amount.</t>
  </si>
  <si>
    <r>
      <t xml:space="preserve">       On </t>
    </r>
    <r>
      <rPr>
        <b/>
        <sz val="10"/>
        <rFont val="Arial"/>
        <family val="2"/>
      </rPr>
      <t>Drill Sites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&lt;30%</t>
    </r>
    <r>
      <rPr>
        <sz val="10"/>
        <rFont val="Arial"/>
        <family val="2"/>
      </rPr>
      <t xml:space="preserve"> slopes they are assumed to be outside the </t>
    </r>
    <r>
      <rPr>
        <b/>
        <sz val="10"/>
        <rFont val="Arial"/>
        <family val="2"/>
      </rPr>
      <t>Drill Site</t>
    </r>
    <r>
      <rPr>
        <sz val="10"/>
        <rFont val="Arial"/>
        <family val="2"/>
      </rPr>
      <t xml:space="preserve">. </t>
    </r>
  </si>
  <si>
    <r>
      <t xml:space="preserve">       Revegetation costs for all </t>
    </r>
    <r>
      <rPr>
        <b/>
        <sz val="10"/>
        <rFont val="Arial"/>
        <family val="2"/>
      </rPr>
      <t xml:space="preserve">Cross Country </t>
    </r>
    <r>
      <rPr>
        <sz val="10"/>
        <rFont val="Arial"/>
        <family val="2"/>
      </rPr>
      <t>disturbance is based on a 12 foot wide seeding width on one pass.</t>
    </r>
  </si>
  <si>
    <r>
      <t xml:space="preserve">15.  </t>
    </r>
    <r>
      <rPr>
        <b/>
        <sz val="10"/>
        <rFont val="Arial"/>
        <family val="2"/>
      </rPr>
      <t>Recontouring</t>
    </r>
    <r>
      <rPr>
        <sz val="10"/>
        <rFont val="Arial"/>
        <family val="2"/>
      </rPr>
      <t xml:space="preserve"> earthwork for </t>
    </r>
    <r>
      <rPr>
        <b/>
        <sz val="10"/>
        <rFont val="Arial"/>
        <family val="2"/>
      </rPr>
      <t>Roads Drill Sites</t>
    </r>
    <r>
      <rPr>
        <sz val="10"/>
        <rFont val="Arial"/>
        <family val="2"/>
      </rPr>
      <t xml:space="preserve"> and </t>
    </r>
    <r>
      <rPr>
        <b/>
        <sz val="10"/>
        <rFont val="Arial"/>
        <family val="2"/>
      </rPr>
      <t>Sumps</t>
    </r>
    <r>
      <rPr>
        <sz val="10"/>
        <rFont val="Arial"/>
        <family val="2"/>
      </rPr>
      <t xml:space="preserve"> has an assumed swell factor of 20%.  </t>
    </r>
    <r>
      <rPr>
        <b/>
        <sz val="10"/>
        <rFont val="Arial"/>
        <family val="2"/>
      </rPr>
      <t>Trenches</t>
    </r>
    <r>
      <rPr>
        <sz val="10"/>
        <rFont val="Arial"/>
        <family val="2"/>
      </rPr>
      <t xml:space="preserve"> swell factor is 30%.</t>
    </r>
  </si>
  <si>
    <r>
      <t xml:space="preserve">16.  </t>
    </r>
    <r>
      <rPr>
        <b/>
        <sz val="10"/>
        <rFont val="Arial"/>
        <family val="2"/>
      </rPr>
      <t>Cross Country</t>
    </r>
    <r>
      <rPr>
        <sz val="10"/>
        <rFont val="Arial"/>
        <family val="2"/>
      </rPr>
      <t xml:space="preserve"> travel is assumed to have a disturbance of 6 feet wide by the linear feet of travel on slopes under 10%.  </t>
    </r>
  </si>
  <si>
    <r>
      <t xml:space="preserve">18.  </t>
    </r>
    <r>
      <rPr>
        <b/>
        <sz val="10"/>
        <rFont val="Arial"/>
        <family val="2"/>
      </rPr>
      <t>Mobilization</t>
    </r>
    <r>
      <rPr>
        <sz val="10"/>
        <rFont val="Arial"/>
        <family val="2"/>
      </rPr>
      <t xml:space="preserve"> for a Cat 320C excavator will be charged for regrading of </t>
    </r>
    <r>
      <rPr>
        <b/>
        <sz val="10"/>
        <rFont val="Arial"/>
        <family val="2"/>
      </rPr>
      <t>Roads, Drill Sites</t>
    </r>
    <r>
      <rPr>
        <sz val="10"/>
        <rFont val="Arial"/>
        <family val="2"/>
      </rPr>
      <t xml:space="preserve"> only.  </t>
    </r>
  </si>
  <si>
    <r>
      <t xml:space="preserve">19.  All projects that propose drilling will require a minimum </t>
    </r>
    <r>
      <rPr>
        <b/>
        <sz val="10"/>
        <rFont val="Arial"/>
        <family val="2"/>
      </rPr>
      <t xml:space="preserve">Drill Holes Open </t>
    </r>
    <r>
      <rPr>
        <sz val="10"/>
        <rFont val="Arial"/>
        <family val="2"/>
      </rPr>
      <t>abandonment cost</t>
    </r>
    <r>
      <rPr>
        <sz val="10"/>
        <rFont val="Arial"/>
        <family val="2"/>
      </rPr>
      <t xml:space="preserve">.  </t>
    </r>
  </si>
  <si>
    <r>
      <t xml:space="preserve">20.  </t>
    </r>
    <r>
      <rPr>
        <b/>
        <sz val="10"/>
        <rFont val="Arial"/>
        <family val="2"/>
      </rPr>
      <t>Mobilization</t>
    </r>
    <r>
      <rPr>
        <sz val="10"/>
        <rFont val="Arial"/>
        <family val="2"/>
      </rPr>
      <t xml:space="preserve"> for </t>
    </r>
    <r>
      <rPr>
        <b/>
        <sz val="10"/>
        <rFont val="Arial"/>
        <family val="2"/>
      </rPr>
      <t>Drill Holes - Open</t>
    </r>
    <r>
      <rPr>
        <sz val="10"/>
        <rFont val="Arial"/>
        <family val="2"/>
      </rPr>
      <t xml:space="preserve"> for </t>
    </r>
    <r>
      <rPr>
        <b/>
        <sz val="10"/>
        <rFont val="Arial"/>
        <family val="2"/>
      </rPr>
      <t>Open Hole - Wet</t>
    </r>
    <r>
      <rPr>
        <sz val="10"/>
        <rFont val="Arial"/>
        <family val="2"/>
      </rPr>
      <t xml:space="preserve"> will include one drill rig plus crew and support equipment.</t>
    </r>
  </si>
  <si>
    <r>
      <t xml:space="preserve">       </t>
    </r>
    <r>
      <rPr>
        <b/>
        <sz val="10"/>
        <rFont val="Arial"/>
        <family val="2"/>
      </rPr>
      <t xml:space="preserve">Drill Sites </t>
    </r>
    <r>
      <rPr>
        <sz val="10"/>
        <rFont val="Arial"/>
        <family val="2"/>
      </rPr>
      <t xml:space="preserve">on slopes &gt;30% are 30 feet wide by 83 feet long.  </t>
    </r>
  </si>
  <si>
    <r>
      <t xml:space="preserve">12.  </t>
    </r>
    <r>
      <rPr>
        <b/>
        <sz val="10"/>
        <rFont val="Arial"/>
        <family val="2"/>
      </rPr>
      <t>Drill Sites</t>
    </r>
    <r>
      <rPr>
        <sz val="10"/>
        <rFont val="Arial"/>
        <family val="2"/>
      </rPr>
      <t xml:space="preserve"> recontouring cost is based on a standard pad width and length.  </t>
    </r>
  </si>
  <si>
    <r>
      <t xml:space="preserve">21.  </t>
    </r>
    <r>
      <rPr>
        <b/>
        <sz val="10"/>
        <rFont val="Arial"/>
        <family val="2"/>
      </rPr>
      <t>Mobilization</t>
    </r>
    <r>
      <rPr>
        <sz val="10"/>
        <rFont val="Arial"/>
        <family val="2"/>
      </rPr>
      <t xml:space="preserve"> for </t>
    </r>
    <r>
      <rPr>
        <b/>
        <sz val="10"/>
        <rFont val="Arial"/>
        <family val="2"/>
      </rPr>
      <t>Drill Holes - Open</t>
    </r>
    <r>
      <rPr>
        <sz val="10"/>
        <rFont val="Arial"/>
        <family val="2"/>
      </rPr>
      <t xml:space="preserve"> for </t>
    </r>
    <r>
      <rPr>
        <b/>
        <sz val="10"/>
        <rFont val="Arial"/>
        <family val="2"/>
      </rPr>
      <t>Open Hole - Dry</t>
    </r>
    <r>
      <rPr>
        <sz val="10"/>
        <rFont val="Arial"/>
        <family val="2"/>
      </rPr>
      <t xml:space="preserve"> will include one backhoe and operator, and one general laborer.</t>
    </r>
  </si>
  <si>
    <r>
      <t xml:space="preserve">       </t>
    </r>
    <r>
      <rPr>
        <b/>
        <sz val="10"/>
        <rFont val="Arial"/>
        <family val="2"/>
      </rPr>
      <t>Drill Sites</t>
    </r>
    <r>
      <rPr>
        <sz val="10"/>
        <rFont val="Arial"/>
        <family val="2"/>
      </rPr>
      <t xml:space="preserve"> on slopes &lt;30%and </t>
    </r>
    <r>
      <rPr>
        <b/>
        <sz val="10"/>
        <rFont val="Arial"/>
        <family val="2"/>
      </rPr>
      <t>Cross Country Drill Sites</t>
    </r>
    <r>
      <rPr>
        <sz val="10"/>
        <rFont val="Arial"/>
        <family val="2"/>
      </rPr>
      <t xml:space="preserve"> are 30 feet wide by 70 feet long.  </t>
    </r>
  </si>
  <si>
    <r>
      <t xml:space="preserve">13.  One </t>
    </r>
    <r>
      <rPr>
        <b/>
        <sz val="10"/>
        <rFont val="Arial"/>
        <family val="2"/>
      </rPr>
      <t>Sump</t>
    </r>
    <r>
      <rPr>
        <sz val="10"/>
        <rFont val="Arial"/>
        <family val="2"/>
      </rPr>
      <t xml:space="preserve"> is assumed for each </t>
    </r>
    <r>
      <rPr>
        <b/>
        <sz val="10"/>
        <rFont val="Arial"/>
        <family val="2"/>
      </rPr>
      <t>Drill Site</t>
    </r>
    <r>
      <rPr>
        <sz val="10"/>
        <rFont val="Arial"/>
        <family val="2"/>
      </rPr>
      <t>.  The assumed dimensions are 10 feet wide, 20 feet long and 6.75 feet deep.  (50 CY)</t>
    </r>
  </si>
  <si>
    <t xml:space="preserve">Notice Level Exploration Reclamation Cost Model </t>
  </si>
  <si>
    <t>From SRCE Cost Data with Acreage Calculators</t>
  </si>
  <si>
    <t>Width of muck pile in feet</t>
  </si>
  <si>
    <t>Perf. And Payment Bonds*</t>
  </si>
  <si>
    <t>Contingency*</t>
  </si>
  <si>
    <t>* Contingency and Performance and payment Bonds required only if total reclamation cost &gt; $100,000</t>
  </si>
  <si>
    <t>Total Revegetation Acres</t>
  </si>
  <si>
    <t>total slope acres</t>
  </si>
  <si>
    <t>SRCE COSTS FROM VERSION 1.1.2   ALL COSTS ARE 2008 LABOR AND EQUIPMENT AND MATERIALS</t>
  </si>
  <si>
    <t>CROSS COUNTRY TRAVEL DISTURBANCE WORKSHEET; 2008</t>
  </si>
  <si>
    <t>TRENCH REGRADE VOLUME WORKSHEET; 2008</t>
  </si>
  <si>
    <t>SUMP WORKSHEET 2008</t>
  </si>
  <si>
    <t>DRILL SITES WORKSHEET; 2008</t>
  </si>
  <si>
    <t>Drill Site type</t>
  </si>
  <si>
    <t>ROADS WORKSHEET; 2008</t>
  </si>
  <si>
    <t xml:space="preserve">red font are calculated values with formulas </t>
  </si>
  <si>
    <t>that can not be changed</t>
  </si>
  <si>
    <t>100 miles Mob Demob</t>
  </si>
  <si>
    <r>
      <t xml:space="preserve">       If there are any</t>
    </r>
    <r>
      <rPr>
        <b/>
        <sz val="10"/>
        <rFont val="Arial"/>
        <family val="2"/>
      </rPr>
      <t xml:space="preserve"> Trenches or Cross Country disturbance;</t>
    </r>
    <r>
      <rPr>
        <sz val="10"/>
        <rFont val="Arial"/>
        <family val="2"/>
      </rPr>
      <t xml:space="preserve"> a D6 dozer will be mobilized also.</t>
    </r>
  </si>
  <si>
    <r>
      <t xml:space="preserve">11.  </t>
    </r>
    <r>
      <rPr>
        <b/>
        <sz val="10"/>
        <rFont val="Arial"/>
        <family val="2"/>
      </rPr>
      <t>Revegetation</t>
    </r>
    <r>
      <rPr>
        <sz val="10"/>
        <rFont val="Arial"/>
        <family val="2"/>
      </rPr>
      <t xml:space="preserve"> costs are based on a per acre basis for slope acres.</t>
    </r>
  </si>
  <si>
    <t xml:space="preserve">      Travel times are assumed to be 2.73 hours one way to the project.</t>
  </si>
  <si>
    <r>
      <t xml:space="preserve">3.  All </t>
    </r>
    <r>
      <rPr>
        <b/>
        <sz val="10"/>
        <rFont val="Arial"/>
        <family val="2"/>
      </rPr>
      <t>Drill Sites</t>
    </r>
    <r>
      <rPr>
        <sz val="10"/>
        <rFont val="Arial"/>
        <family val="2"/>
      </rPr>
      <t xml:space="preserve"> in this worksheet are assumed to be 30 feet wide.  For </t>
    </r>
    <r>
      <rPr>
        <b/>
        <sz val="10"/>
        <rFont val="Arial"/>
        <family val="2"/>
      </rPr>
      <t>Drill Sites</t>
    </r>
    <r>
      <rPr>
        <sz val="10"/>
        <rFont val="Arial"/>
        <family val="2"/>
      </rPr>
      <t xml:space="preserve"> on slopes &lt;30% they are 70 feet long.  For </t>
    </r>
    <r>
      <rPr>
        <b/>
        <sz val="10"/>
        <rFont val="Arial"/>
        <family val="2"/>
      </rPr>
      <t>Drill Sites</t>
    </r>
    <r>
      <rPr>
        <sz val="10"/>
        <rFont val="Arial"/>
        <family val="2"/>
      </rPr>
      <t xml:space="preserve"> on slopes &gt;30% they are 83 feet long</t>
    </r>
  </si>
  <si>
    <r>
      <t xml:space="preserve">       If a drill hole is drilled deeper than the static water level it is considered a wet hole and must be abandoned as an </t>
    </r>
    <r>
      <rPr>
        <b/>
        <sz val="10"/>
        <rFont val="Arial"/>
        <family val="2"/>
      </rPr>
      <t>Open Hole - Wet</t>
    </r>
    <r>
      <rPr>
        <sz val="10"/>
        <rFont val="Arial"/>
        <family val="2"/>
      </rPr>
      <t>.</t>
    </r>
  </si>
  <si>
    <r>
      <t xml:space="preserve">       On </t>
    </r>
    <r>
      <rPr>
        <b/>
        <sz val="10"/>
        <rFont val="Arial"/>
        <family val="2"/>
      </rPr>
      <t>Drill Sites &gt;30%</t>
    </r>
    <r>
      <rPr>
        <sz val="10"/>
        <rFont val="Arial"/>
        <family val="2"/>
      </rPr>
      <t xml:space="preserve"> slopes sumps are assumed to lie within the 30 foot * 83 foot dimension of the </t>
    </r>
    <r>
      <rPr>
        <b/>
        <sz val="10"/>
        <rFont val="Arial"/>
        <family val="2"/>
      </rPr>
      <t>Drill Site.</t>
    </r>
  </si>
  <si>
    <r>
      <t xml:space="preserve">       On </t>
    </r>
    <r>
      <rPr>
        <b/>
        <sz val="10"/>
        <rFont val="Arial"/>
        <family val="2"/>
      </rPr>
      <t>Cross Country Drill Sites</t>
    </r>
    <r>
      <rPr>
        <sz val="10"/>
        <rFont val="Arial"/>
        <family val="2"/>
      </rPr>
      <t>,  the disturbed area is ripped by a Cat D7 size dozer.</t>
    </r>
  </si>
  <si>
    <r>
      <t xml:space="preserve">14.  </t>
    </r>
    <r>
      <rPr>
        <b/>
        <sz val="10"/>
        <rFont val="Arial"/>
        <family val="2"/>
      </rPr>
      <t>Trenches</t>
    </r>
    <r>
      <rPr>
        <sz val="10"/>
        <rFont val="Arial"/>
        <family val="2"/>
      </rPr>
      <t xml:space="preserve"> are assumed to be 14 feet wide by 5 feet deep with 10 feet extra width for the spoils pile.  A D6 is used for recontour at 208 CY/ hour productivity.</t>
    </r>
  </si>
  <si>
    <t>Costs for this Notice Level Reclamation Cost Estimator are based on values and assumptions used in the Standardized Reclamation Cost Estimator (SRCE) Version 1.4.1.</t>
  </si>
  <si>
    <r>
      <t xml:space="preserve">10. </t>
    </r>
    <r>
      <rPr>
        <b/>
        <sz val="10"/>
        <rFont val="Arial"/>
        <family val="2"/>
      </rPr>
      <t>Revegetation</t>
    </r>
    <r>
      <rPr>
        <sz val="10"/>
        <rFont val="Arial"/>
        <family val="2"/>
      </rPr>
      <t xml:space="preserve"> cost is based on the cost of use of a quad/ATV which spreads and drags the seed in on one pass.</t>
    </r>
  </si>
  <si>
    <r>
      <t xml:space="preserve">     All slopes over 30% (</t>
    </r>
    <r>
      <rPr>
        <b/>
        <sz val="10"/>
        <rFont val="Arial"/>
        <family val="2"/>
      </rPr>
      <t>&gt;30%</t>
    </r>
    <r>
      <rPr>
        <sz val="10"/>
        <rFont val="Arial"/>
        <family val="2"/>
      </rPr>
      <t>) are assumed to have a slope of 40% and include an additional 50% of volume for double-handling.</t>
    </r>
  </si>
  <si>
    <t>Notes:</t>
  </si>
  <si>
    <t>Enter Project Name</t>
  </si>
  <si>
    <t>Add notes associated with input values, if needed.</t>
  </si>
  <si>
    <r>
      <t xml:space="preserve">7.  </t>
    </r>
    <r>
      <rPr>
        <b/>
        <sz val="10"/>
        <rFont val="Arial"/>
        <family val="2"/>
      </rPr>
      <t>Recontouring</t>
    </r>
    <r>
      <rPr>
        <sz val="10"/>
        <rFont val="Arial"/>
        <family val="2"/>
      </rPr>
      <t xml:space="preserve"> for reclamation of </t>
    </r>
    <r>
      <rPr>
        <b/>
        <sz val="10"/>
        <rFont val="Arial"/>
        <family val="2"/>
      </rPr>
      <t>Roads,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Drill Sites, and Sumps</t>
    </r>
    <r>
      <rPr>
        <sz val="10"/>
        <rFont val="Arial"/>
        <family val="2"/>
      </rPr>
      <t xml:space="preserve"> is done with a track excavator of a Cat 320C size with a 1.57 CY bucket and productivity of 167 CY per hour.</t>
    </r>
  </si>
  <si>
    <t>SRCE 2021 Cost Data Version 3.2</t>
  </si>
  <si>
    <r>
      <t xml:space="preserve">9.  Laborer cost is based on Davis-Bacon wage rates for </t>
    </r>
    <r>
      <rPr>
        <sz val="10"/>
        <color indexed="10"/>
        <rFont val="Arial"/>
        <family val="2"/>
      </rPr>
      <t>Northern Nevada</t>
    </r>
    <r>
      <rPr>
        <sz val="10"/>
        <color indexed="8"/>
        <rFont val="Arial"/>
        <family val="2"/>
      </rPr>
      <t xml:space="preserve"> with FICA = 7.65%, Unemployment = 3% and Workmen's Comp= 12.0%</t>
    </r>
  </si>
  <si>
    <t xml:space="preserve">Cost Data are from August 1, 2021.  This worksheet is simpler than the SRCE and does not allow the flexibility of entering project specific information in some situations. </t>
  </si>
  <si>
    <t xml:space="preserve">     Area pay= $0.00 per hour, FICA = 7.65%, Unemployment = 3% and Workmen's Comp= 12.0%</t>
  </si>
  <si>
    <r>
      <t xml:space="preserve">17.  </t>
    </r>
    <r>
      <rPr>
        <b/>
        <sz val="10"/>
        <rFont val="Arial"/>
        <family val="2"/>
      </rPr>
      <t>Mobilization</t>
    </r>
    <r>
      <rPr>
        <sz val="10"/>
        <rFont val="Arial"/>
        <family val="2"/>
      </rPr>
      <t xml:space="preserve"> and Demobilization are based on 150 miles one way to project and are based on the 2021 Mob/DeMob worksheet.  </t>
    </r>
  </si>
  <si>
    <t>Nevada BLM, August 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</si>
</sst>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164" formatCode="&quot;$&quot;#,##0"/>
    <numFmt numFmtId="165" formatCode="0.0000"/>
    <numFmt numFmtId="166" formatCode="0.0"/>
    <numFmt numFmtId="167" formatCode="&quot;$&quot;#,##0.00"/>
    <numFmt numFmtId="168" formatCode="[$-409]mmmm\ d\,\ yyyy;@"/>
  </numFmts>
  <fonts count="32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2"/>
      <color indexed="17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2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9"/>
      </patternFill>
    </fill>
    <fill>
      <patternFill patternType="solid">
        <fgColor indexed="43"/>
        <bgColor indexed="8"/>
      </patternFill>
    </fill>
    <fill>
      <patternFill patternType="solid">
        <fgColor indexed="4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>
      <alignment vertical="top"/>
    </xf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7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10" fontId="8" fillId="0" borderId="0" applyFont="0" applyFill="0" applyBorder="0" applyAlignment="0" applyProtection="0"/>
    <xf numFmtId="0" fontId="8" fillId="0" borderId="0" applyFont="0" applyFill="0" applyBorder="0" applyAlignment="0" applyProtection="0"/>
  </cellStyleXfs>
  <cellXfs count="418"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/>
    <xf numFmtId="0" fontId="9" fillId="0" borderId="0" xfId="0" applyFont="1" applyAlignment="1">
      <alignment horizontal="center"/>
    </xf>
    <xf numFmtId="0" fontId="11" fillId="0" borderId="0" xfId="0" applyFont="1" applyAlignment="1"/>
    <xf numFmtId="0" fontId="12" fillId="0" borderId="0" xfId="0" applyFont="1" applyAlignment="1"/>
    <xf numFmtId="0" fontId="13" fillId="0" borderId="0" xfId="0" applyFont="1" applyFill="1" applyBorder="1" applyAlignment="1"/>
    <xf numFmtId="1" fontId="15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65" fontId="6" fillId="0" borderId="2" xfId="0" applyNumberFormat="1" applyFont="1" applyBorder="1" applyAlignment="1">
      <alignment horizontal="center"/>
    </xf>
    <xf numFmtId="165" fontId="6" fillId="0" borderId="3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6" fillId="0" borderId="0" xfId="0" applyNumberFormat="1" applyFont="1" applyAlignment="1">
      <alignment horizontal="center" wrapText="1"/>
    </xf>
    <xf numFmtId="9" fontId="6" fillId="0" borderId="0" xfId="0" applyNumberFormat="1" applyFont="1" applyAlignment="1">
      <alignment horizontal="center" wrapText="1"/>
    </xf>
    <xf numFmtId="2" fontId="6" fillId="0" borderId="0" xfId="0" applyNumberFormat="1" applyFont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165" fontId="6" fillId="0" borderId="0" xfId="0" applyNumberFormat="1" applyFont="1" applyAlignment="1">
      <alignment horizontal="center" wrapText="1"/>
    </xf>
    <xf numFmtId="166" fontId="6" fillId="0" borderId="0" xfId="0" applyNumberFormat="1" applyFont="1" applyAlignment="1">
      <alignment horizontal="center" wrapText="1"/>
    </xf>
    <xf numFmtId="165" fontId="6" fillId="0" borderId="2" xfId="0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165" fontId="6" fillId="0" borderId="3" xfId="0" applyNumberFormat="1" applyFont="1" applyBorder="1" applyAlignment="1">
      <alignment horizontal="center" wrapText="1"/>
    </xf>
    <xf numFmtId="2" fontId="6" fillId="0" borderId="3" xfId="0" applyNumberFormat="1" applyFont="1" applyBorder="1" applyAlignment="1">
      <alignment horizontal="center" wrapText="1"/>
    </xf>
    <xf numFmtId="2" fontId="6" fillId="0" borderId="4" xfId="0" applyNumberFormat="1" applyFont="1" applyBorder="1" applyAlignment="1">
      <alignment horizontal="center" wrapText="1"/>
    </xf>
    <xf numFmtId="165" fontId="6" fillId="0" borderId="0" xfId="0" applyNumberFormat="1" applyFont="1" applyFill="1" applyBorder="1" applyAlignment="1">
      <alignment horizontal="center" wrapText="1"/>
    </xf>
    <xf numFmtId="2" fontId="15" fillId="0" borderId="0" xfId="0" applyNumberFormat="1" applyFont="1" applyAlignment="1">
      <alignment horizontal="center"/>
    </xf>
    <xf numFmtId="2" fontId="15" fillId="0" borderId="0" xfId="0" applyNumberFormat="1" applyFont="1">
      <alignment vertical="top"/>
    </xf>
    <xf numFmtId="4" fontId="15" fillId="0" borderId="0" xfId="0" applyNumberFormat="1" applyFont="1">
      <alignment vertical="top"/>
    </xf>
    <xf numFmtId="165" fontId="15" fillId="0" borderId="5" xfId="0" applyNumberFormat="1" applyFont="1" applyBorder="1">
      <alignment vertical="top"/>
    </xf>
    <xf numFmtId="2" fontId="15" fillId="0" borderId="0" xfId="0" applyNumberFormat="1" applyFont="1" applyBorder="1">
      <alignment vertical="top"/>
    </xf>
    <xf numFmtId="165" fontId="15" fillId="0" borderId="0" xfId="0" applyNumberFormat="1" applyFont="1" applyBorder="1">
      <alignment vertical="top"/>
    </xf>
    <xf numFmtId="2" fontId="15" fillId="0" borderId="0" xfId="0" applyNumberFormat="1" applyFont="1" applyBorder="1" applyAlignment="1">
      <alignment horizontal="center"/>
    </xf>
    <xf numFmtId="2" fontId="15" fillId="0" borderId="6" xfId="0" applyNumberFormat="1" applyFont="1" applyBorder="1" applyAlignment="1">
      <alignment horizontal="center"/>
    </xf>
    <xf numFmtId="165" fontId="15" fillId="0" borderId="0" xfId="0" applyNumberFormat="1" applyFont="1">
      <alignment vertical="top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0" xfId="0" applyBorder="1">
      <alignment vertical="top"/>
    </xf>
    <xf numFmtId="165" fontId="0" fillId="0" borderId="0" xfId="0" applyNumberFormat="1" applyBorder="1">
      <alignment vertical="top"/>
    </xf>
    <xf numFmtId="2" fontId="0" fillId="0" borderId="0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5" xfId="0" applyBorder="1">
      <alignment vertical="top"/>
    </xf>
    <xf numFmtId="0" fontId="0" fillId="0" borderId="6" xfId="0" applyBorder="1">
      <alignment vertical="top"/>
    </xf>
    <xf numFmtId="0" fontId="0" fillId="0" borderId="0" xfId="0">
      <alignment vertical="top"/>
    </xf>
    <xf numFmtId="3" fontId="15" fillId="0" borderId="0" xfId="0" applyNumberFormat="1" applyFont="1" applyAlignment="1">
      <alignment horizontal="center"/>
    </xf>
    <xf numFmtId="2" fontId="15" fillId="0" borderId="0" xfId="0" applyNumberFormat="1" applyFont="1" applyFill="1" applyBorder="1">
      <alignment vertical="top"/>
    </xf>
    <xf numFmtId="3" fontId="15" fillId="0" borderId="0" xfId="0" applyNumberFormat="1" applyFont="1">
      <alignment vertical="top"/>
    </xf>
    <xf numFmtId="49" fontId="15" fillId="0" borderId="0" xfId="0" applyNumberFormat="1" applyFont="1" applyAlignment="1">
      <alignment horizontal="center" wrapText="1"/>
    </xf>
    <xf numFmtId="9" fontId="15" fillId="0" borderId="0" xfId="0" applyNumberFormat="1" applyFont="1" applyAlignment="1">
      <alignment horizontal="center" wrapText="1"/>
    </xf>
    <xf numFmtId="2" fontId="15" fillId="0" borderId="0" xfId="0" applyNumberFormat="1" applyFont="1" applyAlignment="1">
      <alignment horizontal="center" wrapText="1"/>
    </xf>
    <xf numFmtId="3" fontId="15" fillId="0" borderId="1" xfId="0" applyNumberFormat="1" applyFont="1" applyBorder="1" applyAlignment="1">
      <alignment horizontal="center"/>
    </xf>
    <xf numFmtId="0" fontId="0" fillId="0" borderId="1" xfId="0" applyFill="1" applyBorder="1">
      <alignment vertical="top"/>
    </xf>
    <xf numFmtId="3" fontId="1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4" fontId="15" fillId="0" borderId="0" xfId="0" applyNumberFormat="1" applyFont="1" applyFill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7" xfId="0" applyBorder="1" applyAlignment="1"/>
    <xf numFmtId="0" fontId="12" fillId="0" borderId="0" xfId="0" applyFont="1" applyFill="1" applyAlignment="1"/>
    <xf numFmtId="3" fontId="15" fillId="0" borderId="0" xfId="0" applyNumberFormat="1" applyFont="1" applyFill="1" applyAlignment="1">
      <alignment horizontal="center"/>
    </xf>
    <xf numFmtId="3" fontId="12" fillId="0" borderId="0" xfId="0" applyNumberFormat="1" applyFont="1" applyFill="1" applyAlignment="1"/>
    <xf numFmtId="0" fontId="21" fillId="0" borderId="0" xfId="0" applyFont="1" applyAlignment="1"/>
    <xf numFmtId="165" fontId="15" fillId="0" borderId="0" xfId="0" applyNumberFormat="1" applyFont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3" fontId="0" fillId="0" borderId="0" xfId="0" applyNumberFormat="1" applyBorder="1" applyAlignment="1"/>
    <xf numFmtId="3" fontId="6" fillId="0" borderId="0" xfId="0" applyNumberFormat="1" applyFont="1" applyBorder="1" applyAlignment="1">
      <alignment horizontal="center" wrapText="1"/>
    </xf>
    <xf numFmtId="0" fontId="0" fillId="0" borderId="0" xfId="0" applyFill="1" applyBorder="1" applyAlignment="1"/>
    <xf numFmtId="0" fontId="6" fillId="0" borderId="0" xfId="0" applyFont="1" applyAlignment="1" applyProtection="1">
      <alignment horizontal="center" wrapText="1"/>
    </xf>
    <xf numFmtId="0" fontId="0" fillId="0" borderId="0" xfId="0" applyAlignment="1">
      <alignment wrapText="1"/>
    </xf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7" fontId="0" fillId="0" borderId="0" xfId="3" applyFont="1" applyProtection="1"/>
    <xf numFmtId="7" fontId="11" fillId="0" borderId="0" xfId="3" applyFont="1" applyProtection="1"/>
    <xf numFmtId="1" fontId="0" fillId="0" borderId="0" xfId="3" applyNumberFormat="1" applyFont="1" applyProtection="1"/>
    <xf numFmtId="7" fontId="11" fillId="0" borderId="0" xfId="0" applyNumberFormat="1" applyFont="1" applyAlignment="1" applyProtection="1"/>
    <xf numFmtId="0" fontId="11" fillId="0" borderId="0" xfId="0" applyFont="1" applyAlignment="1" applyProtection="1"/>
    <xf numFmtId="1" fontId="0" fillId="0" borderId="0" xfId="0" applyNumberFormat="1" applyAlignment="1" applyProtection="1"/>
    <xf numFmtId="2" fontId="0" fillId="0" borderId="0" xfId="0" applyNumberFormat="1" applyAlignment="1" applyProtection="1"/>
    <xf numFmtId="7" fontId="22" fillId="0" borderId="0" xfId="3" applyFont="1" applyProtection="1"/>
    <xf numFmtId="0" fontId="5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</xf>
    <xf numFmtId="0" fontId="14" fillId="0" borderId="0" xfId="0" applyFont="1" applyFill="1" applyBorder="1" applyAlignment="1" applyProtection="1">
      <alignment horizontal="left" vertical="center"/>
    </xf>
    <xf numFmtId="0" fontId="16" fillId="0" borderId="0" xfId="0" applyFont="1" applyAlignment="1" applyProtection="1">
      <alignment horizontal="left" vertical="center"/>
    </xf>
    <xf numFmtId="49" fontId="19" fillId="0" borderId="0" xfId="0" applyNumberFormat="1" applyFont="1" applyAlignment="1">
      <alignment horizontal="center" wrapText="1"/>
    </xf>
    <xf numFmtId="166" fontId="0" fillId="0" borderId="0" xfId="0" applyNumberFormat="1" applyAlignment="1" applyProtection="1"/>
    <xf numFmtId="0" fontId="23" fillId="0" borderId="0" xfId="0" applyFont="1" applyFill="1" applyAlignment="1" applyProtection="1">
      <alignment horizontal="center"/>
    </xf>
    <xf numFmtId="1" fontId="23" fillId="0" borderId="0" xfId="0" applyNumberFormat="1" applyFont="1" applyFill="1" applyAlignment="1" applyProtection="1">
      <alignment horizontal="center" wrapText="1"/>
    </xf>
    <xf numFmtId="1" fontId="23" fillId="0" borderId="0" xfId="0" applyNumberFormat="1" applyFont="1" applyFill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165" fontId="6" fillId="0" borderId="2" xfId="0" applyNumberFormat="1" applyFont="1" applyBorder="1" applyAlignment="1" applyProtection="1">
      <alignment horizontal="center"/>
    </xf>
    <xf numFmtId="165" fontId="6" fillId="0" borderId="3" xfId="0" applyNumberFormat="1" applyFont="1" applyBorder="1" applyAlignment="1" applyProtection="1">
      <alignment horizontal="center"/>
    </xf>
    <xf numFmtId="165" fontId="6" fillId="0" borderId="4" xfId="0" applyNumberFormat="1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/>
    </xf>
    <xf numFmtId="0" fontId="6" fillId="0" borderId="4" xfId="0" applyFont="1" applyBorder="1" applyAlignment="1" applyProtection="1">
      <alignment horizontal="center"/>
    </xf>
    <xf numFmtId="49" fontId="6" fillId="0" borderId="0" xfId="0" applyNumberFormat="1" applyFont="1" applyAlignment="1" applyProtection="1">
      <alignment horizontal="center" wrapText="1"/>
    </xf>
    <xf numFmtId="9" fontId="6" fillId="0" borderId="0" xfId="0" applyNumberFormat="1" applyFont="1" applyAlignment="1" applyProtection="1">
      <alignment horizontal="center" wrapText="1"/>
    </xf>
    <xf numFmtId="165" fontId="6" fillId="0" borderId="0" xfId="0" applyNumberFormat="1" applyFont="1" applyAlignment="1" applyProtection="1">
      <alignment horizontal="center" wrapText="1"/>
    </xf>
    <xf numFmtId="2" fontId="6" fillId="0" borderId="0" xfId="0" applyNumberFormat="1" applyFont="1" applyAlignment="1" applyProtection="1">
      <alignment horizontal="center" wrapText="1"/>
    </xf>
    <xf numFmtId="2" fontId="6" fillId="0" borderId="0" xfId="0" applyNumberFormat="1" applyFont="1" applyFill="1" applyBorder="1" applyAlignment="1" applyProtection="1">
      <alignment horizontal="center" wrapText="1"/>
    </xf>
    <xf numFmtId="166" fontId="6" fillId="0" borderId="0" xfId="0" applyNumberFormat="1" applyFont="1" applyAlignment="1" applyProtection="1">
      <alignment horizontal="center" wrapText="1"/>
    </xf>
    <xf numFmtId="165" fontId="6" fillId="0" borderId="2" xfId="0" applyNumberFormat="1" applyFont="1" applyBorder="1" applyAlignment="1" applyProtection="1">
      <alignment horizontal="center" wrapText="1"/>
    </xf>
    <xf numFmtId="0" fontId="6" fillId="0" borderId="3" xfId="0" applyFont="1" applyBorder="1" applyAlignment="1" applyProtection="1">
      <alignment horizontal="center" wrapText="1"/>
    </xf>
    <xf numFmtId="49" fontId="19" fillId="0" borderId="0" xfId="0" applyNumberFormat="1" applyFont="1" applyAlignment="1" applyProtection="1">
      <alignment horizontal="center" wrapText="1"/>
    </xf>
    <xf numFmtId="165" fontId="6" fillId="0" borderId="3" xfId="0" applyNumberFormat="1" applyFont="1" applyBorder="1" applyAlignment="1" applyProtection="1">
      <alignment horizontal="center" wrapText="1"/>
    </xf>
    <xf numFmtId="2" fontId="6" fillId="0" borderId="3" xfId="0" applyNumberFormat="1" applyFont="1" applyBorder="1" applyAlignment="1" applyProtection="1">
      <alignment horizontal="center" wrapText="1"/>
    </xf>
    <xf numFmtId="2" fontId="6" fillId="0" borderId="4" xfId="0" applyNumberFormat="1" applyFont="1" applyBorder="1" applyAlignment="1" applyProtection="1">
      <alignment horizontal="center" wrapText="1"/>
    </xf>
    <xf numFmtId="165" fontId="6" fillId="0" borderId="0" xfId="0" applyNumberFormat="1" applyFont="1" applyFill="1" applyBorder="1" applyAlignment="1" applyProtection="1">
      <alignment horizontal="center" wrapText="1"/>
    </xf>
    <xf numFmtId="165" fontId="6" fillId="0" borderId="8" xfId="0" applyNumberFormat="1" applyFont="1" applyFill="1" applyBorder="1" applyAlignment="1" applyProtection="1">
      <alignment horizontal="center" wrapText="1"/>
    </xf>
    <xf numFmtId="165" fontId="6" fillId="0" borderId="9" xfId="0" applyNumberFormat="1" applyFont="1" applyFill="1" applyBorder="1" applyAlignment="1" applyProtection="1">
      <alignment horizontal="center" wrapText="1"/>
    </xf>
    <xf numFmtId="165" fontId="6" fillId="0" borderId="10" xfId="0" applyNumberFormat="1" applyFont="1" applyFill="1" applyBorder="1" applyAlignment="1" applyProtection="1">
      <alignment horizontal="center" wrapText="1"/>
    </xf>
    <xf numFmtId="0" fontId="9" fillId="0" borderId="0" xfId="0" applyFont="1" applyAlignment="1" applyProtection="1">
      <alignment horizontal="center"/>
    </xf>
    <xf numFmtId="165" fontId="15" fillId="0" borderId="0" xfId="0" applyNumberFormat="1" applyFont="1" applyAlignment="1" applyProtection="1">
      <alignment horizontal="center"/>
    </xf>
    <xf numFmtId="2" fontId="14" fillId="0" borderId="0" xfId="0" applyNumberFormat="1" applyFont="1" applyProtection="1">
      <alignment vertical="top"/>
    </xf>
    <xf numFmtId="2" fontId="15" fillId="0" borderId="0" xfId="0" applyNumberFormat="1" applyFont="1" applyAlignment="1" applyProtection="1">
      <alignment horizontal="center"/>
    </xf>
    <xf numFmtId="2" fontId="15" fillId="0" borderId="0" xfId="0" applyNumberFormat="1" applyFont="1" applyProtection="1">
      <alignment vertical="top"/>
    </xf>
    <xf numFmtId="4" fontId="15" fillId="0" borderId="0" xfId="0" applyNumberFormat="1" applyFont="1" applyProtection="1">
      <alignment vertical="top"/>
    </xf>
    <xf numFmtId="165" fontId="15" fillId="0" borderId="5" xfId="0" applyNumberFormat="1" applyFont="1" applyBorder="1" applyProtection="1">
      <alignment vertical="top"/>
    </xf>
    <xf numFmtId="2" fontId="15" fillId="0" borderId="0" xfId="0" applyNumberFormat="1" applyFont="1" applyBorder="1" applyProtection="1">
      <alignment vertical="top"/>
    </xf>
    <xf numFmtId="165" fontId="15" fillId="0" borderId="0" xfId="0" applyNumberFormat="1" applyFont="1" applyBorder="1" applyProtection="1">
      <alignment vertical="top"/>
    </xf>
    <xf numFmtId="2" fontId="15" fillId="0" borderId="0" xfId="0" applyNumberFormat="1" applyFont="1" applyBorder="1" applyAlignment="1" applyProtection="1">
      <alignment horizontal="center"/>
    </xf>
    <xf numFmtId="2" fontId="15" fillId="0" borderId="6" xfId="0" applyNumberFormat="1" applyFont="1" applyBorder="1" applyAlignment="1" applyProtection="1">
      <alignment horizontal="center"/>
    </xf>
    <xf numFmtId="165" fontId="15" fillId="0" borderId="0" xfId="0" applyNumberFormat="1" applyFont="1" applyProtection="1">
      <alignment vertical="top"/>
    </xf>
    <xf numFmtId="0" fontId="11" fillId="0" borderId="7" xfId="0" applyFont="1" applyBorder="1" applyAlignment="1" applyProtection="1"/>
    <xf numFmtId="3" fontId="11" fillId="0" borderId="11" xfId="0" applyNumberFormat="1" applyFont="1" applyBorder="1" applyAlignment="1" applyProtection="1"/>
    <xf numFmtId="3" fontId="0" fillId="0" borderId="12" xfId="0" applyNumberFormat="1" applyBorder="1" applyAlignment="1" applyProtection="1"/>
    <xf numFmtId="2" fontId="15" fillId="0" borderId="0" xfId="0" applyNumberFormat="1" applyFont="1" applyFill="1" applyProtection="1">
      <alignment vertical="top"/>
    </xf>
    <xf numFmtId="4" fontId="15" fillId="0" borderId="0" xfId="0" applyNumberFormat="1" applyFont="1" applyFill="1" applyProtection="1">
      <alignment vertical="top"/>
    </xf>
    <xf numFmtId="2" fontId="15" fillId="0" borderId="0" xfId="0" applyNumberFormat="1" applyFont="1" applyFill="1" applyBorder="1" applyProtection="1">
      <alignment vertical="top"/>
    </xf>
    <xf numFmtId="0" fontId="0" fillId="0" borderId="1" xfId="0" applyBorder="1" applyAlignment="1" applyProtection="1">
      <alignment horizontal="center"/>
    </xf>
    <xf numFmtId="9" fontId="0" fillId="0" borderId="1" xfId="0" applyNumberFormat="1" applyBorder="1" applyAlignment="1" applyProtection="1">
      <alignment horizontal="center"/>
    </xf>
    <xf numFmtId="2" fontId="0" fillId="0" borderId="1" xfId="0" applyNumberFormat="1" applyBorder="1" applyAlignment="1" applyProtection="1">
      <alignment horizontal="center"/>
    </xf>
    <xf numFmtId="2" fontId="0" fillId="0" borderId="1" xfId="0" applyNumberFormat="1" applyBorder="1" applyProtection="1">
      <alignment vertical="top"/>
    </xf>
    <xf numFmtId="0" fontId="0" fillId="0" borderId="1" xfId="0" applyBorder="1" applyProtection="1">
      <alignment vertical="top"/>
    </xf>
    <xf numFmtId="165" fontId="0" fillId="0" borderId="1" xfId="0" applyNumberFormat="1" applyBorder="1" applyProtection="1">
      <alignment vertical="top"/>
    </xf>
    <xf numFmtId="4" fontId="0" fillId="0" borderId="1" xfId="0" applyNumberFormat="1" applyBorder="1" applyProtection="1">
      <alignment vertical="top"/>
    </xf>
    <xf numFmtId="165" fontId="0" fillId="0" borderId="5" xfId="0" applyNumberFormat="1" applyBorder="1" applyProtection="1">
      <alignment vertical="top"/>
    </xf>
    <xf numFmtId="0" fontId="0" fillId="0" borderId="0" xfId="0" applyBorder="1" applyProtection="1">
      <alignment vertical="top"/>
    </xf>
    <xf numFmtId="165" fontId="0" fillId="0" borderId="0" xfId="0" applyNumberFormat="1" applyBorder="1" applyProtection="1">
      <alignment vertical="top"/>
    </xf>
    <xf numFmtId="2" fontId="0" fillId="0" borderId="0" xfId="0" applyNumberFormat="1" applyBorder="1" applyAlignment="1" applyProtection="1">
      <alignment horizontal="center"/>
    </xf>
    <xf numFmtId="2" fontId="0" fillId="0" borderId="6" xfId="0" applyNumberFormat="1" applyBorder="1" applyAlignment="1" applyProtection="1">
      <alignment horizontal="center"/>
    </xf>
    <xf numFmtId="0" fontId="0" fillId="0" borderId="5" xfId="0" applyBorder="1" applyProtection="1">
      <alignment vertical="top"/>
    </xf>
    <xf numFmtId="0" fontId="0" fillId="0" borderId="6" xfId="0" applyBorder="1" applyProtection="1">
      <alignment vertical="top"/>
    </xf>
    <xf numFmtId="0" fontId="0" fillId="0" borderId="0" xfId="0" applyProtection="1">
      <alignment vertical="top"/>
    </xf>
    <xf numFmtId="2" fontId="0" fillId="0" borderId="0" xfId="0" applyNumberFormat="1" applyProtection="1">
      <alignment vertical="top"/>
    </xf>
    <xf numFmtId="165" fontId="0" fillId="0" borderId="0" xfId="0" applyNumberFormat="1" applyProtection="1">
      <alignment vertical="top"/>
    </xf>
    <xf numFmtId="0" fontId="0" fillId="0" borderId="7" xfId="0" applyBorder="1" applyAlignment="1" applyProtection="1"/>
    <xf numFmtId="3" fontId="0" fillId="0" borderId="11" xfId="0" applyNumberFormat="1" applyBorder="1" applyAlignment="1" applyProtection="1"/>
    <xf numFmtId="3" fontId="15" fillId="0" borderId="0" xfId="0" applyNumberFormat="1" applyFont="1" applyAlignment="1" applyProtection="1">
      <alignment horizontal="center"/>
    </xf>
    <xf numFmtId="3" fontId="15" fillId="0" borderId="0" xfId="0" applyNumberFormat="1" applyFont="1" applyProtection="1">
      <alignment vertical="top"/>
    </xf>
    <xf numFmtId="165" fontId="0" fillId="0" borderId="13" xfId="0" applyNumberFormat="1" applyBorder="1" applyProtection="1">
      <alignment vertical="top"/>
    </xf>
    <xf numFmtId="2" fontId="0" fillId="0" borderId="14" xfId="0" applyNumberFormat="1" applyBorder="1" applyAlignment="1" applyProtection="1">
      <alignment horizontal="center"/>
    </xf>
    <xf numFmtId="0" fontId="0" fillId="0" borderId="13" xfId="0" applyBorder="1" applyProtection="1">
      <alignment vertical="top"/>
    </xf>
    <xf numFmtId="0" fontId="0" fillId="0" borderId="14" xfId="0" applyBorder="1" applyProtection="1">
      <alignment vertical="top"/>
    </xf>
    <xf numFmtId="0" fontId="0" fillId="0" borderId="15" xfId="0" applyBorder="1" applyAlignment="1" applyProtection="1"/>
    <xf numFmtId="3" fontId="0" fillId="0" borderId="16" xfId="0" applyNumberFormat="1" applyBorder="1" applyAlignment="1" applyProtection="1"/>
    <xf numFmtId="0" fontId="0" fillId="0" borderId="1" xfId="0" applyBorder="1" applyAlignment="1" applyProtection="1"/>
    <xf numFmtId="3" fontId="0" fillId="0" borderId="17" xfId="0" applyNumberFormat="1" applyBorder="1" applyAlignment="1" applyProtection="1"/>
    <xf numFmtId="0" fontId="11" fillId="2" borderId="18" xfId="0" applyFont="1" applyFill="1" applyBorder="1" applyAlignment="1" applyProtection="1"/>
    <xf numFmtId="3" fontId="11" fillId="0" borderId="19" xfId="0" applyNumberFormat="1" applyFont="1" applyBorder="1" applyAlignment="1" applyProtection="1"/>
    <xf numFmtId="3" fontId="0" fillId="0" borderId="20" xfId="0" applyNumberFormat="1" applyBorder="1" applyAlignment="1" applyProtection="1"/>
    <xf numFmtId="3" fontId="0" fillId="0" borderId="0" xfId="0" applyNumberFormat="1" applyAlignment="1" applyProtection="1"/>
    <xf numFmtId="0" fontId="9" fillId="0" borderId="0" xfId="0" applyFont="1" applyAlignment="1" applyProtection="1"/>
    <xf numFmtId="0" fontId="10" fillId="0" borderId="0" xfId="0" applyFont="1" applyAlignment="1" applyProtection="1"/>
    <xf numFmtId="49" fontId="23" fillId="0" borderId="0" xfId="0" applyNumberFormat="1" applyFont="1" applyFill="1" applyAlignment="1" applyProtection="1">
      <alignment horizontal="center" wrapText="1"/>
      <protection locked="0"/>
    </xf>
    <xf numFmtId="1" fontId="23" fillId="0" borderId="0" xfId="0" applyNumberFormat="1" applyFont="1" applyFill="1" applyAlignment="1" applyProtection="1">
      <alignment horizontal="center"/>
      <protection locked="0"/>
    </xf>
    <xf numFmtId="2" fontId="23" fillId="0" borderId="0" xfId="0" applyNumberFormat="1" applyFont="1" applyFill="1" applyAlignment="1" applyProtection="1">
      <alignment horizontal="center"/>
    </xf>
    <xf numFmtId="9" fontId="15" fillId="0" borderId="1" xfId="0" applyNumberFormat="1" applyFont="1" applyFill="1" applyBorder="1" applyAlignment="1" applyProtection="1">
      <alignment horizontal="center"/>
    </xf>
    <xf numFmtId="49" fontId="23" fillId="0" borderId="1" xfId="0" applyNumberFormat="1" applyFont="1" applyFill="1" applyBorder="1" applyAlignment="1" applyProtection="1">
      <alignment horizontal="center" wrapText="1"/>
      <protection locked="0"/>
    </xf>
    <xf numFmtId="1" fontId="23" fillId="0" borderId="1" xfId="0" applyNumberFormat="1" applyFont="1" applyFill="1" applyBorder="1" applyAlignment="1" applyProtection="1">
      <alignment horizontal="center"/>
      <protection locked="0"/>
    </xf>
    <xf numFmtId="165" fontId="15" fillId="0" borderId="1" xfId="0" applyNumberFormat="1" applyFont="1" applyBorder="1" applyAlignment="1" applyProtection="1">
      <alignment horizontal="center"/>
      <protection locked="0"/>
    </xf>
    <xf numFmtId="2" fontId="23" fillId="0" borderId="1" xfId="0" applyNumberFormat="1" applyFont="1" applyFill="1" applyBorder="1" applyAlignment="1" applyProtection="1">
      <alignment horizontal="center"/>
    </xf>
    <xf numFmtId="2" fontId="15" fillId="0" borderId="1" xfId="0" applyNumberFormat="1" applyFont="1" applyBorder="1" applyAlignment="1">
      <alignment horizontal="center"/>
    </xf>
    <xf numFmtId="2" fontId="15" fillId="0" borderId="1" xfId="0" applyNumberFormat="1" applyFont="1" applyBorder="1">
      <alignment vertical="top"/>
    </xf>
    <xf numFmtId="4" fontId="15" fillId="0" borderId="1" xfId="0" applyNumberFormat="1" applyFont="1" applyBorder="1">
      <alignment vertical="top"/>
    </xf>
    <xf numFmtId="165" fontId="15" fillId="0" borderId="13" xfId="0" applyNumberFormat="1" applyFont="1" applyBorder="1">
      <alignment vertical="top"/>
    </xf>
    <xf numFmtId="165" fontId="15" fillId="0" borderId="1" xfId="0" applyNumberFormat="1" applyFont="1" applyBorder="1">
      <alignment vertical="top"/>
    </xf>
    <xf numFmtId="2" fontId="15" fillId="0" borderId="14" xfId="0" applyNumberFormat="1" applyFont="1" applyBorder="1" applyAlignment="1">
      <alignment horizontal="center"/>
    </xf>
    <xf numFmtId="2" fontId="0" fillId="0" borderId="0" xfId="0" applyNumberFormat="1" applyBorder="1">
      <alignment vertical="top"/>
    </xf>
    <xf numFmtId="0" fontId="0" fillId="0" borderId="0" xfId="0" applyBorder="1" applyAlignment="1"/>
    <xf numFmtId="2" fontId="0" fillId="0" borderId="0" xfId="0" applyNumberFormat="1" applyBorder="1" applyAlignment="1"/>
    <xf numFmtId="0" fontId="11" fillId="2" borderId="0" xfId="0" applyFont="1" applyFill="1" applyBorder="1" applyAlignment="1"/>
    <xf numFmtId="2" fontId="11" fillId="0" borderId="0" xfId="0" applyNumberFormat="1" applyFont="1" applyBorder="1" applyAlignment="1"/>
    <xf numFmtId="0" fontId="11" fillId="0" borderId="0" xfId="0" applyFont="1" applyBorder="1" applyAlignment="1"/>
    <xf numFmtId="4" fontId="15" fillId="0" borderId="0" xfId="0" applyNumberFormat="1" applyFont="1" applyFill="1" applyBorder="1">
      <alignment vertical="top"/>
    </xf>
    <xf numFmtId="3" fontId="6" fillId="0" borderId="0" xfId="0" applyNumberFormat="1" applyFont="1" applyBorder="1" applyAlignment="1" applyProtection="1">
      <alignment horizontal="center" wrapText="1"/>
    </xf>
    <xf numFmtId="49" fontId="15" fillId="0" borderId="0" xfId="0" applyNumberFormat="1" applyFont="1" applyAlignment="1" applyProtection="1">
      <alignment horizontal="center" wrapText="1"/>
    </xf>
    <xf numFmtId="9" fontId="15" fillId="0" borderId="0" xfId="0" applyNumberFormat="1" applyFont="1" applyAlignment="1" applyProtection="1">
      <alignment horizontal="center" wrapText="1"/>
    </xf>
    <xf numFmtId="2" fontId="15" fillId="0" borderId="0" xfId="0" applyNumberFormat="1" applyFont="1" applyAlignment="1" applyProtection="1">
      <alignment horizontal="center" wrapText="1"/>
    </xf>
    <xf numFmtId="3" fontId="0" fillId="0" borderId="0" xfId="0" applyNumberFormat="1" applyBorder="1" applyAlignment="1" applyProtection="1"/>
    <xf numFmtId="1" fontId="15" fillId="0" borderId="0" xfId="0" applyNumberFormat="1" applyFont="1" applyFill="1" applyAlignment="1" applyProtection="1">
      <alignment horizontal="center"/>
    </xf>
    <xf numFmtId="1" fontId="15" fillId="0" borderId="0" xfId="0" applyNumberFormat="1" applyFont="1" applyAlignment="1" applyProtection="1">
      <alignment horizontal="center"/>
    </xf>
    <xf numFmtId="3" fontId="15" fillId="0" borderId="1" xfId="0" applyNumberFormat="1" applyFont="1" applyBorder="1" applyAlignment="1" applyProtection="1">
      <alignment horizontal="center"/>
    </xf>
    <xf numFmtId="0" fontId="0" fillId="0" borderId="1" xfId="0" applyFill="1" applyBorder="1" applyProtection="1">
      <alignment vertical="top"/>
    </xf>
    <xf numFmtId="3" fontId="11" fillId="0" borderId="0" xfId="0" applyNumberFormat="1" applyFont="1" applyAlignment="1" applyProtection="1">
      <alignment horizontal="center"/>
    </xf>
    <xf numFmtId="3" fontId="0" fillId="0" borderId="0" xfId="0" applyNumberFormat="1" applyAlignment="1" applyProtection="1">
      <alignment horizontal="center"/>
    </xf>
    <xf numFmtId="3" fontId="15" fillId="0" borderId="0" xfId="0" applyNumberFormat="1" applyFont="1" applyFill="1" applyAlignment="1" applyProtection="1">
      <alignment horizontal="center"/>
    </xf>
    <xf numFmtId="4" fontId="15" fillId="0" borderId="0" xfId="0" applyNumberFormat="1" applyFont="1" applyFill="1" applyAlignment="1" applyProtection="1">
      <alignment horizontal="center"/>
    </xf>
    <xf numFmtId="1" fontId="11" fillId="0" borderId="0" xfId="0" applyNumberFormat="1" applyFont="1" applyProtection="1">
      <alignment vertical="top"/>
    </xf>
    <xf numFmtId="0" fontId="22" fillId="0" borderId="0" xfId="0" applyFont="1" applyAlignment="1" applyProtection="1"/>
    <xf numFmtId="2" fontId="23" fillId="0" borderId="0" xfId="0" applyNumberFormat="1" applyFont="1" applyAlignment="1" applyProtection="1">
      <alignment horizontal="center"/>
    </xf>
    <xf numFmtId="9" fontId="0" fillId="0" borderId="0" xfId="0" applyNumberFormat="1" applyAlignment="1"/>
    <xf numFmtId="0" fontId="5" fillId="0" borderId="0" xfId="0" applyFont="1" applyAlignment="1" applyProtection="1">
      <alignment horizontal="center" wrapText="1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1" fontId="9" fillId="3" borderId="1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wrapText="1"/>
    </xf>
    <xf numFmtId="0" fontId="15" fillId="0" borderId="0" xfId="0" applyFont="1" applyAlignment="1" applyProtection="1">
      <alignment horizontal="center" wrapText="1"/>
    </xf>
    <xf numFmtId="0" fontId="0" fillId="0" borderId="21" xfId="0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" fontId="23" fillId="0" borderId="1" xfId="0" applyNumberFormat="1" applyFont="1" applyFill="1" applyBorder="1" applyAlignment="1" applyProtection="1">
      <alignment horizontal="center"/>
    </xf>
    <xf numFmtId="1" fontId="15" fillId="0" borderId="1" xfId="0" applyNumberFormat="1" applyFont="1" applyFill="1" applyBorder="1" applyAlignment="1" applyProtection="1">
      <alignment horizontal="center"/>
    </xf>
    <xf numFmtId="0" fontId="10" fillId="0" borderId="1" xfId="0" applyFont="1" applyBorder="1" applyAlignment="1" applyProtection="1">
      <alignment horizontal="right"/>
    </xf>
    <xf numFmtId="1" fontId="9" fillId="3" borderId="20" xfId="0" applyNumberFormat="1" applyFont="1" applyFill="1" applyBorder="1" applyAlignment="1" applyProtection="1">
      <alignment horizontal="center" vertical="center"/>
      <protection locked="0"/>
    </xf>
    <xf numFmtId="1" fontId="9" fillId="3" borderId="12" xfId="0" applyNumberFormat="1" applyFont="1" applyFill="1" applyBorder="1" applyAlignment="1" applyProtection="1">
      <alignment horizontal="center" vertical="center"/>
      <protection locked="0"/>
    </xf>
    <xf numFmtId="3" fontId="9" fillId="3" borderId="10" xfId="0" applyNumberFormat="1" applyFont="1" applyFill="1" applyBorder="1" applyAlignment="1" applyProtection="1">
      <alignment horizontal="center" vertical="center"/>
      <protection locked="0"/>
    </xf>
    <xf numFmtId="3" fontId="9" fillId="3" borderId="20" xfId="0" applyNumberFormat="1" applyFont="1" applyFill="1" applyBorder="1" applyAlignment="1" applyProtection="1">
      <alignment horizontal="center" vertical="center"/>
      <protection locked="0"/>
    </xf>
    <xf numFmtId="9" fontId="11" fillId="0" borderId="0" xfId="0" applyNumberFormat="1" applyFont="1" applyAlignment="1"/>
    <xf numFmtId="1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 wrapText="1"/>
    </xf>
    <xf numFmtId="1" fontId="14" fillId="0" borderId="0" xfId="0" applyNumberFormat="1" applyFont="1" applyFill="1" applyAlignment="1" applyProtection="1">
      <alignment horizontal="center"/>
      <protection locked="0"/>
    </xf>
    <xf numFmtId="1" fontId="14" fillId="0" borderId="1" xfId="0" applyNumberFormat="1" applyFont="1" applyFill="1" applyBorder="1" applyAlignment="1" applyProtection="1">
      <alignment horizontal="center"/>
      <protection locked="0"/>
    </xf>
    <xf numFmtId="3" fontId="11" fillId="0" borderId="0" xfId="0" applyNumberFormat="1" applyFont="1" applyFill="1" applyAlignment="1"/>
    <xf numFmtId="2" fontId="14" fillId="0" borderId="1" xfId="0" applyNumberFormat="1" applyFont="1" applyFill="1" applyBorder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protection locked="0"/>
    </xf>
    <xf numFmtId="0" fontId="0" fillId="0" borderId="0" xfId="0" applyAlignment="1" applyProtection="1">
      <alignment horizontal="center"/>
      <protection hidden="1"/>
    </xf>
    <xf numFmtId="3" fontId="9" fillId="0" borderId="1" xfId="0" applyNumberFormat="1" applyFont="1" applyFill="1" applyBorder="1" applyAlignment="1" applyProtection="1">
      <protection locked="0"/>
    </xf>
    <xf numFmtId="3" fontId="15" fillId="0" borderId="23" xfId="0" applyNumberFormat="1" applyFont="1" applyFill="1" applyBorder="1" applyAlignment="1" applyProtection="1">
      <alignment horizontal="center"/>
    </xf>
    <xf numFmtId="4" fontId="15" fillId="0" borderId="23" xfId="0" applyNumberFormat="1" applyFont="1" applyFill="1" applyBorder="1" applyProtection="1">
      <alignment vertical="top"/>
    </xf>
    <xf numFmtId="2" fontId="0" fillId="0" borderId="22" xfId="0" applyNumberFormat="1" applyFill="1" applyBorder="1" applyProtection="1">
      <alignment vertical="top"/>
    </xf>
    <xf numFmtId="1" fontId="11" fillId="0" borderId="0" xfId="0" applyNumberFormat="1" applyFont="1" applyBorder="1" applyAlignment="1"/>
    <xf numFmtId="0" fontId="11" fillId="0" borderId="0" xfId="0" applyFont="1" applyBorder="1" applyAlignment="1">
      <alignment horizontal="right"/>
    </xf>
    <xf numFmtId="2" fontId="0" fillId="2" borderId="0" xfId="0" applyNumberFormat="1" applyFill="1" applyBorder="1" applyAlignment="1">
      <alignment horizontal="right"/>
    </xf>
    <xf numFmtId="4" fontId="0" fillId="2" borderId="0" xfId="0" applyNumberFormat="1" applyFill="1" applyBorder="1" applyAlignment="1"/>
    <xf numFmtId="3" fontId="0" fillId="2" borderId="0" xfId="0" applyNumberFormat="1" applyFill="1" applyBorder="1" applyAlignment="1"/>
    <xf numFmtId="3" fontId="16" fillId="0" borderId="0" xfId="0" applyNumberFormat="1" applyFont="1" applyFill="1" applyAlignment="1" applyProtection="1">
      <alignment horizontal="center"/>
    </xf>
    <xf numFmtId="1" fontId="14" fillId="4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5" fontId="0" fillId="0" borderId="0" xfId="4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5" fontId="5" fillId="0" borderId="0" xfId="4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/>
      <protection hidden="1"/>
    </xf>
    <xf numFmtId="7" fontId="0" fillId="5" borderId="0" xfId="0" applyNumberFormat="1" applyFill="1" applyAlignment="1" applyProtection="1">
      <alignment horizontal="center" vertical="center"/>
      <protection hidden="1"/>
    </xf>
    <xf numFmtId="7" fontId="0" fillId="2" borderId="0" xfId="0" applyNumberFormat="1" applyFill="1" applyAlignment="1" applyProtection="1">
      <alignment horizontal="center" vertical="center"/>
      <protection hidden="1"/>
    </xf>
    <xf numFmtId="164" fontId="11" fillId="0" borderId="0" xfId="0" applyNumberFormat="1" applyFont="1" applyAlignment="1" applyProtection="1">
      <alignment horizontal="center" vertical="center"/>
      <protection hidden="1"/>
    </xf>
    <xf numFmtId="164" fontId="0" fillId="0" borderId="0" xfId="0" applyNumberFormat="1" applyAlignment="1" applyProtection="1">
      <protection hidden="1"/>
    </xf>
    <xf numFmtId="7" fontId="0" fillId="0" borderId="0" xfId="0" applyNumberFormat="1" applyAlignment="1" applyProtection="1">
      <protection hidden="1"/>
    </xf>
    <xf numFmtId="7" fontId="0" fillId="6" borderId="0" xfId="0" applyNumberFormat="1" applyFill="1" applyAlignment="1" applyProtection="1">
      <alignment horizontal="center" vertical="center"/>
      <protection hidden="1"/>
    </xf>
    <xf numFmtId="1" fontId="0" fillId="0" borderId="0" xfId="0" applyNumberFormat="1" applyAlignment="1" applyProtection="1">
      <alignment horizontal="center" vertical="center"/>
      <protection hidden="1"/>
    </xf>
    <xf numFmtId="1" fontId="3" fillId="0" borderId="0" xfId="0" applyNumberFormat="1" applyFont="1" applyAlignment="1" applyProtection="1">
      <alignment horizontal="center" vertical="center"/>
      <protection hidden="1"/>
    </xf>
    <xf numFmtId="167" fontId="8" fillId="2" borderId="0" xfId="0" applyNumberFormat="1" applyFont="1" applyFill="1" applyAlignment="1" applyProtection="1">
      <alignment horizontal="center" vertical="center"/>
      <protection hidden="1"/>
    </xf>
    <xf numFmtId="167" fontId="8" fillId="5" borderId="0" xfId="0" applyNumberFormat="1" applyFont="1" applyFill="1" applyAlignment="1" applyProtection="1">
      <alignment horizontal="center" vertical="center"/>
      <protection hidden="1"/>
    </xf>
    <xf numFmtId="1" fontId="11" fillId="0" borderId="0" xfId="0" applyNumberFormat="1" applyFont="1" applyFill="1" applyBorder="1" applyAlignment="1" applyProtection="1">
      <alignment horizontal="center" vertical="center"/>
      <protection hidden="1"/>
    </xf>
    <xf numFmtId="167" fontId="8" fillId="0" borderId="0" xfId="0" applyNumberFormat="1" applyFont="1" applyFill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1" fontId="19" fillId="0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164" fontId="0" fillId="0" borderId="0" xfId="0" applyNumberFormat="1" applyBorder="1" applyAlignment="1" applyProtection="1">
      <protection hidden="1"/>
    </xf>
    <xf numFmtId="7" fontId="0" fillId="0" borderId="0" xfId="0" applyNumberFormat="1" applyBorder="1" applyAlignment="1" applyProtection="1"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167" fontId="8" fillId="6" borderId="0" xfId="0" applyNumberFormat="1" applyFont="1" applyFill="1" applyAlignment="1" applyProtection="1">
      <alignment horizontal="center" vertical="center"/>
      <protection hidden="1"/>
    </xf>
    <xf numFmtId="7" fontId="0" fillId="0" borderId="0" xfId="0" applyNumberFormat="1" applyFill="1" applyAlignment="1" applyProtection="1">
      <alignment horizontal="center" vertical="center"/>
      <protection hidden="1"/>
    </xf>
    <xf numFmtId="7" fontId="0" fillId="0" borderId="0" xfId="0" applyNumberForma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2" fontId="0" fillId="0" borderId="0" xfId="0" applyNumberForma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/>
      <protection hidden="1"/>
    </xf>
    <xf numFmtId="1" fontId="9" fillId="0" borderId="0" xfId="0" applyNumberFormat="1" applyFont="1" applyFill="1" applyBorder="1" applyAlignment="1" applyProtection="1">
      <alignment horizontal="center" vertical="center"/>
      <protection hidden="1"/>
    </xf>
    <xf numFmtId="7" fontId="0" fillId="2" borderId="0" xfId="0" applyNumberFormat="1" applyFill="1" applyAlignment="1" applyProtection="1">
      <protection hidden="1"/>
    </xf>
    <xf numFmtId="0" fontId="6" fillId="0" borderId="24" xfId="0" applyFont="1" applyFill="1" applyBorder="1" applyAlignment="1" applyProtection="1">
      <alignment horizontal="center" vertical="center"/>
      <protection hidden="1"/>
    </xf>
    <xf numFmtId="0" fontId="6" fillId="0" borderId="25" xfId="0" applyFont="1" applyFill="1" applyBorder="1" applyAlignment="1" applyProtection="1">
      <alignment horizontal="center" vertical="center" wrapText="1"/>
      <protection hidden="1"/>
    </xf>
    <xf numFmtId="0" fontId="6" fillId="0" borderId="23" xfId="0" applyFont="1" applyFill="1" applyBorder="1" applyAlignment="1" applyProtection="1">
      <alignment horizontal="center" vertical="center"/>
      <protection hidden="1"/>
    </xf>
    <xf numFmtId="3" fontId="6" fillId="0" borderId="23" xfId="1" applyFont="1" applyFill="1" applyBorder="1" applyAlignment="1" applyProtection="1">
      <alignment horizontal="center" vertical="center"/>
      <protection hidden="1"/>
    </xf>
    <xf numFmtId="37" fontId="0" fillId="0" borderId="0" xfId="0" applyNumberFormat="1" applyAlignment="1" applyProtection="1">
      <protection hidden="1"/>
    </xf>
    <xf numFmtId="0" fontId="6" fillId="0" borderId="5" xfId="0" applyFont="1" applyFill="1" applyBorder="1" applyAlignment="1" applyProtection="1">
      <alignment horizontal="center" vertical="center"/>
      <protection hidden="1"/>
    </xf>
    <xf numFmtId="3" fontId="22" fillId="0" borderId="26" xfId="0" applyNumberFormat="1" applyFont="1" applyFill="1" applyBorder="1" applyAlignment="1" applyProtection="1">
      <alignment horizontal="center" vertical="center"/>
      <protection hidden="1"/>
    </xf>
    <xf numFmtId="164" fontId="4" fillId="0" borderId="0" xfId="0" applyNumberFormat="1" applyFont="1" applyAlignment="1" applyProtection="1">
      <alignment horizontal="center" vertical="center"/>
      <protection hidden="1"/>
    </xf>
    <xf numFmtId="0" fontId="0" fillId="0" borderId="1" xfId="0" applyBorder="1" applyAlignment="1" applyProtection="1">
      <protection hidden="1"/>
    </xf>
    <xf numFmtId="0" fontId="6" fillId="0" borderId="0" xfId="0" applyFont="1" applyFill="1" applyAlignment="1" applyProtection="1">
      <alignment horizontal="center"/>
      <protection hidden="1"/>
    </xf>
    <xf numFmtId="0" fontId="22" fillId="0" borderId="26" xfId="0" applyFont="1" applyFill="1" applyBorder="1" applyAlignment="1" applyProtection="1">
      <protection hidden="1"/>
    </xf>
    <xf numFmtId="0" fontId="3" fillId="0" borderId="5" xfId="0" applyFont="1" applyFill="1" applyBorder="1" applyAlignment="1" applyProtection="1">
      <alignment horizontal="center" vertical="center"/>
      <protection hidden="1"/>
    </xf>
    <xf numFmtId="0" fontId="22" fillId="0" borderId="2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wrapText="1"/>
      <protection hidden="1"/>
    </xf>
    <xf numFmtId="0" fontId="6" fillId="0" borderId="1" xfId="0" applyFont="1" applyFill="1" applyBorder="1" applyAlignment="1" applyProtection="1">
      <alignment horizontal="center"/>
      <protection hidden="1"/>
    </xf>
    <xf numFmtId="3" fontId="22" fillId="0" borderId="22" xfId="0" applyNumberFormat="1" applyFont="1" applyFill="1" applyBorder="1" applyAlignment="1" applyProtection="1">
      <alignment horizontal="center" vertical="center"/>
      <protection hidden="1"/>
    </xf>
    <xf numFmtId="164" fontId="4" fillId="0" borderId="0" xfId="4" applyNumberFormat="1" applyFont="1" applyAlignment="1" applyProtection="1">
      <alignment horizontal="center" vertical="center"/>
      <protection hidden="1"/>
    </xf>
    <xf numFmtId="164" fontId="11" fillId="0" borderId="0" xfId="4" applyNumberFormat="1" applyFont="1" applyAlignment="1" applyProtection="1">
      <alignment horizontal="center" vertical="center"/>
      <protection hidden="1"/>
    </xf>
    <xf numFmtId="5" fontId="3" fillId="0" borderId="0" xfId="0" applyNumberFormat="1" applyFont="1" applyAlignment="1" applyProtection="1">
      <alignment horizontal="center" vertical="center"/>
      <protection hidden="1"/>
    </xf>
    <xf numFmtId="5" fontId="0" fillId="0" borderId="0" xfId="0" applyNumberFormat="1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hidden="1"/>
    </xf>
    <xf numFmtId="164" fontId="11" fillId="0" borderId="0" xfId="0" applyNumberFormat="1" applyFont="1" applyAlignment="1" applyProtection="1">
      <alignment horizontal="center"/>
      <protection hidden="1"/>
    </xf>
    <xf numFmtId="0" fontId="0" fillId="4" borderId="0" xfId="0" applyFill="1" applyAlignment="1" applyProtection="1">
      <protection hidden="1"/>
    </xf>
    <xf numFmtId="0" fontId="22" fillId="2" borderId="0" xfId="0" applyFont="1" applyFill="1" applyAlignment="1" applyProtection="1">
      <protection hidden="1"/>
    </xf>
    <xf numFmtId="164" fontId="4" fillId="0" borderId="0" xfId="0" applyNumberFormat="1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1" fontId="6" fillId="0" borderId="0" xfId="0" applyNumberFormat="1" applyFont="1" applyAlignment="1" applyProtection="1">
      <alignment horizontal="center" vertical="center"/>
      <protection hidden="1"/>
    </xf>
    <xf numFmtId="0" fontId="14" fillId="3" borderId="0" xfId="0" applyFont="1" applyFill="1" applyBorder="1" applyAlignment="1" applyProtection="1">
      <alignment horizontal="left" vertical="center"/>
      <protection hidden="1"/>
    </xf>
    <xf numFmtId="4" fontId="8" fillId="0" borderId="0" xfId="0" applyNumberFormat="1" applyFont="1" applyFill="1" applyBorder="1" applyAlignment="1" applyProtection="1">
      <alignment horizontal="center" vertical="center"/>
      <protection hidden="1"/>
    </xf>
    <xf numFmtId="4" fontId="8" fillId="0" borderId="0" xfId="0" applyNumberFormat="1" applyFont="1" applyFill="1" applyAlignment="1" applyProtection="1">
      <alignment horizontal="center"/>
      <protection hidden="1"/>
    </xf>
    <xf numFmtId="39" fontId="8" fillId="0" borderId="0" xfId="0" applyNumberFormat="1" applyFont="1" applyFill="1" applyBorder="1" applyAlignment="1" applyProtection="1">
      <alignment horizontal="center" vertical="center"/>
      <protection hidden="1"/>
    </xf>
    <xf numFmtId="4" fontId="8" fillId="0" borderId="1" xfId="0" applyNumberFormat="1" applyFont="1" applyFill="1" applyBorder="1" applyAlignment="1" applyProtection="1">
      <alignment horizontal="center"/>
      <protection hidden="1"/>
    </xf>
    <xf numFmtId="4" fontId="8" fillId="0" borderId="21" xfId="0" applyNumberFormat="1" applyFont="1" applyFill="1" applyBorder="1" applyAlignment="1" applyProtection="1">
      <alignment horizontal="center"/>
      <protection hidden="1"/>
    </xf>
    <xf numFmtId="4" fontId="8" fillId="0" borderId="26" xfId="0" applyNumberFormat="1" applyFont="1" applyFill="1" applyBorder="1" applyAlignment="1" applyProtection="1">
      <alignment horizontal="center"/>
      <protection hidden="1"/>
    </xf>
    <xf numFmtId="4" fontId="8" fillId="0" borderId="22" xfId="0" applyNumberFormat="1" applyFont="1" applyFill="1" applyBorder="1" applyAlignment="1" applyProtection="1">
      <alignment horizontal="center"/>
      <protection hidden="1"/>
    </xf>
    <xf numFmtId="164" fontId="8" fillId="0" borderId="0" xfId="1" applyNumberFormat="1" applyFont="1" applyAlignment="1" applyProtection="1">
      <alignment horizontal="center" vertical="center"/>
      <protection hidden="1"/>
    </xf>
    <xf numFmtId="164" fontId="4" fillId="0" borderId="0" xfId="1" applyNumberFormat="1" applyFont="1" applyAlignment="1" applyProtection="1">
      <alignment horizontal="center" vertical="center"/>
      <protection hidden="1"/>
    </xf>
    <xf numFmtId="164" fontId="8" fillId="0" borderId="0" xfId="1" applyNumberFormat="1" applyFont="1" applyBorder="1" applyAlignment="1" applyProtection="1">
      <alignment horizontal="center" vertical="center"/>
      <protection hidden="1"/>
    </xf>
    <xf numFmtId="3" fontId="8" fillId="0" borderId="0" xfId="1" applyFont="1" applyAlignment="1" applyProtection="1">
      <alignment horizontal="center" vertical="center"/>
      <protection hidden="1"/>
    </xf>
    <xf numFmtId="3" fontId="8" fillId="0" borderId="0" xfId="1" applyNumberFormat="1" applyFont="1" applyAlignment="1" applyProtection="1">
      <alignment horizontal="center" vertical="center"/>
      <protection hidden="1"/>
    </xf>
    <xf numFmtId="164" fontId="8" fillId="0" borderId="0" xfId="0" applyNumberFormat="1" applyFont="1" applyAlignment="1" applyProtection="1">
      <alignment horizontal="center" vertical="center"/>
      <protection hidden="1"/>
    </xf>
    <xf numFmtId="164" fontId="8" fillId="0" borderId="0" xfId="0" applyNumberFormat="1" applyFont="1" applyFill="1" applyAlignment="1" applyProtection="1">
      <alignment horizontal="center" vertical="center"/>
      <protection hidden="1"/>
    </xf>
    <xf numFmtId="164" fontId="8" fillId="0" borderId="0" xfId="0" applyNumberFormat="1" applyFont="1" applyBorder="1" applyAlignment="1" applyProtection="1">
      <alignment horizontal="center" vertical="center"/>
      <protection hidden="1"/>
    </xf>
    <xf numFmtId="164" fontId="8" fillId="0" borderId="0" xfId="0" applyNumberFormat="1" applyFont="1" applyAlignment="1" applyProtection="1">
      <protection hidden="1"/>
    </xf>
    <xf numFmtId="164" fontId="8" fillId="0" borderId="0" xfId="4" applyNumberFormat="1" applyFont="1" applyAlignment="1" applyProtection="1">
      <alignment horizontal="center" vertical="center"/>
      <protection hidden="1"/>
    </xf>
    <xf numFmtId="5" fontId="8" fillId="0" borderId="0" xfId="0" applyNumberFormat="1" applyFont="1" applyAlignment="1" applyProtection="1">
      <alignment horizontal="center"/>
      <protection hidden="1"/>
    </xf>
    <xf numFmtId="164" fontId="8" fillId="0" borderId="0" xfId="0" applyNumberFormat="1" applyFont="1" applyAlignment="1" applyProtection="1">
      <alignment horizontal="center"/>
      <protection hidden="1"/>
    </xf>
    <xf numFmtId="164" fontId="24" fillId="0" borderId="0" xfId="0" applyNumberFormat="1" applyFont="1" applyAlignment="1" applyProtection="1">
      <alignment horizontal="center"/>
      <protection hidden="1"/>
    </xf>
    <xf numFmtId="168" fontId="0" fillId="0" borderId="0" xfId="0" applyNumberFormat="1" applyAlignment="1">
      <alignment horizontal="center"/>
    </xf>
    <xf numFmtId="2" fontId="8" fillId="0" borderId="0" xfId="0" applyNumberFormat="1" applyFont="1" applyAlignment="1" applyProtection="1">
      <alignment horizontal="center" vertical="center"/>
      <protection hidden="1"/>
    </xf>
    <xf numFmtId="1" fontId="8" fillId="0" borderId="0" xfId="0" applyNumberFormat="1" applyFont="1" applyFill="1" applyBorder="1" applyAlignment="1" applyProtection="1">
      <alignment horizontal="center" vertical="center"/>
      <protection hidden="1"/>
    </xf>
    <xf numFmtId="5" fontId="0" fillId="0" borderId="0" xfId="3" applyNumberFormat="1" applyFont="1" applyAlignment="1" applyProtection="1">
      <alignment horizontal="right"/>
      <protection hidden="1"/>
    </xf>
    <xf numFmtId="5" fontId="0" fillId="0" borderId="0" xfId="3" applyNumberFormat="1" applyFont="1" applyProtection="1">
      <protection hidden="1"/>
    </xf>
    <xf numFmtId="5" fontId="0" fillId="0" borderId="0" xfId="3" applyNumberFormat="1" applyFont="1" applyAlignment="1" applyProtection="1">
      <alignment horizontal="center"/>
      <protection hidden="1"/>
    </xf>
    <xf numFmtId="164" fontId="0" fillId="0" borderId="0" xfId="1" applyNumberFormat="1" applyFont="1" applyAlignment="1" applyProtection="1">
      <alignment horizontal="center" vertical="center"/>
      <protection hidden="1"/>
    </xf>
    <xf numFmtId="9" fontId="25" fillId="0" borderId="0" xfId="9" applyNumberFormat="1" applyFont="1" applyAlignment="1">
      <alignment horizontal="right" wrapText="1"/>
    </xf>
    <xf numFmtId="0" fontId="26" fillId="0" borderId="0" xfId="0" applyFont="1" applyAlignment="1" applyProtection="1">
      <alignment horizontal="center" wrapText="1"/>
    </xf>
    <xf numFmtId="0" fontId="5" fillId="0" borderId="0" xfId="0" applyFont="1" applyAlignment="1" applyProtection="1">
      <alignment horizontal="left"/>
      <protection hidden="1"/>
    </xf>
    <xf numFmtId="1" fontId="26" fillId="0" borderId="0" xfId="0" applyNumberFormat="1" applyFont="1" applyFill="1" applyAlignment="1" applyProtection="1">
      <alignment horizontal="center"/>
      <protection locked="0"/>
    </xf>
    <xf numFmtId="2" fontId="26" fillId="0" borderId="0" xfId="0" applyNumberFormat="1" applyFont="1" applyAlignment="1" applyProtection="1">
      <alignment horizontal="center"/>
    </xf>
    <xf numFmtId="2" fontId="27" fillId="0" borderId="23" xfId="0" applyNumberFormat="1" applyFont="1" applyFill="1" applyBorder="1">
      <alignment vertical="top"/>
    </xf>
    <xf numFmtId="7" fontId="5" fillId="5" borderId="0" xfId="0" applyNumberFormat="1" applyFont="1" applyFill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right" vertical="center"/>
      <protection hidden="1"/>
    </xf>
    <xf numFmtId="39" fontId="11" fillId="0" borderId="0" xfId="0" applyNumberFormat="1" applyFont="1" applyFill="1" applyBorder="1" applyAlignment="1" applyProtection="1">
      <alignment horizontal="center" vertical="center"/>
      <protection hidden="1"/>
    </xf>
    <xf numFmtId="0" fontId="7" fillId="0" borderId="24" xfId="0" applyFont="1" applyFill="1" applyBorder="1" applyAlignment="1" applyProtection="1">
      <alignment horizontal="right" vertical="center"/>
      <protection hidden="1"/>
    </xf>
    <xf numFmtId="0" fontId="7" fillId="0" borderId="0" xfId="0" applyFont="1" applyFill="1" applyBorder="1" applyAlignment="1" applyProtection="1">
      <alignment horizontal="right" vertical="center"/>
      <protection hidden="1"/>
    </xf>
    <xf numFmtId="39" fontId="21" fillId="0" borderId="23" xfId="0" applyNumberFormat="1" applyFont="1" applyFill="1" applyBorder="1" applyAlignment="1" applyProtection="1">
      <alignment horizontal="center" vertical="center"/>
      <protection hidden="1"/>
    </xf>
    <xf numFmtId="39" fontId="28" fillId="0" borderId="27" xfId="0" applyNumberFormat="1" applyFont="1" applyFill="1" applyBorder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/>
      <protection locked="0"/>
    </xf>
    <xf numFmtId="1" fontId="29" fillId="0" borderId="0" xfId="0" applyNumberFormat="1" applyFont="1" applyFill="1" applyAlignment="1" applyProtection="1">
      <alignment horizontal="center"/>
      <protection locked="0"/>
    </xf>
    <xf numFmtId="2" fontId="26" fillId="0" borderId="0" xfId="0" applyNumberFormat="1" applyFont="1" applyAlignment="1" applyProtection="1">
      <alignment horizontal="center"/>
      <protection locked="0"/>
    </xf>
    <xf numFmtId="1" fontId="26" fillId="0" borderId="0" xfId="0" applyNumberFormat="1" applyFont="1" applyFill="1" applyAlignment="1" applyProtection="1">
      <alignment horizontal="center"/>
    </xf>
    <xf numFmtId="9" fontId="26" fillId="0" borderId="0" xfId="0" applyNumberFormat="1" applyFont="1" applyFill="1" applyAlignment="1" applyProtection="1">
      <alignment horizontal="center"/>
    </xf>
    <xf numFmtId="0" fontId="26" fillId="0" borderId="0" xfId="0" applyFont="1" applyAlignment="1" applyProtection="1">
      <alignment horizontal="center"/>
    </xf>
    <xf numFmtId="2" fontId="26" fillId="0" borderId="0" xfId="0" applyNumberFormat="1" applyFont="1" applyProtection="1">
      <alignment vertical="top"/>
    </xf>
    <xf numFmtId="0" fontId="15" fillId="0" borderId="0" xfId="0" applyFont="1" applyAlignment="1" applyProtection="1"/>
    <xf numFmtId="0" fontId="25" fillId="0" borderId="0" xfId="0" applyFont="1" applyAlignment="1" applyProtection="1"/>
    <xf numFmtId="0" fontId="5" fillId="0" borderId="0" xfId="0" applyFont="1" applyAlignment="1" applyProtection="1">
      <alignment horizontal="center"/>
    </xf>
    <xf numFmtId="3" fontId="31" fillId="0" borderId="0" xfId="0" applyNumberFormat="1" applyFont="1" applyFill="1" applyAlignment="1" applyProtection="1">
      <protection locked="0"/>
    </xf>
    <xf numFmtId="0" fontId="26" fillId="0" borderId="0" xfId="0" applyFont="1" applyAlignment="1" applyProtection="1">
      <alignment horizontal="right"/>
    </xf>
    <xf numFmtId="3" fontId="11" fillId="0" borderId="0" xfId="0" applyNumberFormat="1" applyFont="1" applyAlignment="1" applyProtection="1">
      <alignment horizontal="right"/>
    </xf>
    <xf numFmtId="4" fontId="11" fillId="0" borderId="0" xfId="0" applyNumberFormat="1" applyFont="1" applyAlignment="1" applyProtection="1"/>
    <xf numFmtId="3" fontId="11" fillId="0" borderId="1" xfId="0" applyNumberFormat="1" applyFont="1" applyBorder="1" applyAlignment="1" applyProtection="1">
      <alignment horizontal="right"/>
    </xf>
    <xf numFmtId="4" fontId="11" fillId="0" borderId="1" xfId="0" applyNumberFormat="1" applyFont="1" applyBorder="1" applyAlignment="1" applyProtection="1"/>
    <xf numFmtId="3" fontId="12" fillId="0" borderId="0" xfId="0" applyNumberFormat="1" applyFont="1" applyAlignment="1" applyProtection="1"/>
    <xf numFmtId="4" fontId="12" fillId="0" borderId="0" xfId="0" applyNumberFormat="1" applyFont="1" applyFill="1" applyBorder="1" applyAlignment="1" applyProtection="1"/>
    <xf numFmtId="3" fontId="11" fillId="0" borderId="1" xfId="0" applyNumberFormat="1" applyFont="1" applyFill="1" applyBorder="1" applyAlignment="1" applyProtection="1"/>
    <xf numFmtId="0" fontId="0" fillId="0" borderId="0" xfId="0" applyBorder="1" applyAlignment="1" applyProtection="1"/>
    <xf numFmtId="0" fontId="9" fillId="3" borderId="0" xfId="0" applyFont="1" applyFill="1" applyAlignment="1" applyProtection="1">
      <alignment horizontal="center"/>
      <protection locked="0"/>
    </xf>
    <xf numFmtId="2" fontId="30" fillId="3" borderId="0" xfId="0" applyNumberFormat="1" applyFont="1" applyFill="1" applyAlignment="1" applyProtection="1">
      <alignment horizontal="center"/>
      <protection locked="0"/>
    </xf>
    <xf numFmtId="0" fontId="30" fillId="3" borderId="0" xfId="0" applyFont="1" applyFill="1" applyAlignment="1" applyProtection="1">
      <protection locked="0"/>
    </xf>
    <xf numFmtId="3" fontId="9" fillId="3" borderId="0" xfId="0" applyNumberFormat="1" applyFont="1" applyFill="1" applyAlignment="1" applyProtection="1">
      <protection locked="0"/>
    </xf>
    <xf numFmtId="0" fontId="3" fillId="0" borderId="0" xfId="0" applyFont="1" applyAlignment="1">
      <alignment horizontal="center"/>
    </xf>
    <xf numFmtId="0" fontId="0" fillId="0" borderId="0" xfId="0" applyAlignment="1" applyProtection="1">
      <alignment horizontal="left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5" fontId="0" fillId="2" borderId="0" xfId="0" applyNumberFormat="1" applyFill="1" applyAlignment="1" applyProtection="1">
      <alignment horizontal="center" vertical="center"/>
      <protection hidden="1"/>
    </xf>
    <xf numFmtId="5" fontId="0" fillId="5" borderId="0" xfId="0" applyNumberFormat="1" applyFill="1" applyAlignment="1" applyProtection="1">
      <alignment horizontal="center" vertical="center"/>
      <protection hidden="1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left"/>
      <protection hidden="1"/>
    </xf>
    <xf numFmtId="0" fontId="5" fillId="0" borderId="0" xfId="0" applyFont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left"/>
      <protection hidden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8" fillId="4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6" fillId="0" borderId="0" xfId="0" applyFont="1" applyAlignment="1" applyProtection="1">
      <alignment horizontal="center"/>
      <protection hidden="1"/>
    </xf>
    <xf numFmtId="1" fontId="9" fillId="3" borderId="8" xfId="0" applyNumberFormat="1" applyFont="1" applyFill="1" applyBorder="1" applyAlignment="1" applyProtection="1">
      <alignment horizontal="left" vertical="center"/>
      <protection locked="0"/>
    </xf>
    <xf numFmtId="1" fontId="9" fillId="3" borderId="28" xfId="0" applyNumberFormat="1" applyFont="1" applyFill="1" applyBorder="1" applyAlignment="1" applyProtection="1">
      <alignment horizontal="left" vertical="center"/>
      <protection locked="0"/>
    </xf>
    <xf numFmtId="1" fontId="9" fillId="3" borderId="9" xfId="0" applyNumberFormat="1" applyFont="1" applyFill="1" applyBorder="1" applyAlignment="1" applyProtection="1">
      <alignment horizontal="left" vertical="center"/>
      <protection locked="0"/>
    </xf>
    <xf numFmtId="1" fontId="9" fillId="3" borderId="7" xfId="0" applyNumberFormat="1" applyFont="1" applyFill="1" applyBorder="1" applyAlignment="1" applyProtection="1">
      <alignment horizontal="left" vertical="center"/>
      <protection locked="0"/>
    </xf>
    <xf numFmtId="1" fontId="9" fillId="3" borderId="0" xfId="0" applyNumberFormat="1" applyFont="1" applyFill="1" applyBorder="1" applyAlignment="1" applyProtection="1">
      <alignment horizontal="left" vertical="center"/>
      <protection locked="0"/>
    </xf>
    <xf numFmtId="1" fontId="9" fillId="3" borderId="11" xfId="0" applyNumberFormat="1" applyFont="1" applyFill="1" applyBorder="1" applyAlignment="1" applyProtection="1">
      <alignment horizontal="left" vertical="center"/>
      <protection locked="0"/>
    </xf>
    <xf numFmtId="1" fontId="9" fillId="3" borderId="18" xfId="0" applyNumberFormat="1" applyFont="1" applyFill="1" applyBorder="1" applyAlignment="1" applyProtection="1">
      <alignment horizontal="left" vertical="center"/>
      <protection locked="0"/>
    </xf>
    <xf numFmtId="1" fontId="9" fillId="3" borderId="29" xfId="0" applyNumberFormat="1" applyFont="1" applyFill="1" applyBorder="1" applyAlignment="1" applyProtection="1">
      <alignment horizontal="left" vertical="center"/>
      <protection locked="0"/>
    </xf>
    <xf numFmtId="1" fontId="9" fillId="3" borderId="19" xfId="0" applyNumberFormat="1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/>
    </xf>
    <xf numFmtId="165" fontId="6" fillId="0" borderId="2" xfId="0" applyNumberFormat="1" applyFont="1" applyBorder="1" applyAlignment="1" applyProtection="1">
      <alignment horizontal="center"/>
    </xf>
    <xf numFmtId="165" fontId="6" fillId="0" borderId="3" xfId="0" applyNumberFormat="1" applyFont="1" applyBorder="1" applyAlignment="1" applyProtection="1">
      <alignment horizontal="center"/>
    </xf>
    <xf numFmtId="165" fontId="6" fillId="0" borderId="4" xfId="0" applyNumberFormat="1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/>
    </xf>
    <xf numFmtId="0" fontId="6" fillId="0" borderId="4" xfId="0" applyFont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165" fontId="6" fillId="0" borderId="2" xfId="0" applyNumberFormat="1" applyFont="1" applyBorder="1" applyAlignment="1">
      <alignment horizontal="center"/>
    </xf>
    <xf numFmtId="165" fontId="6" fillId="0" borderId="3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0" xfId="0" applyAlignment="1" applyProtection="1">
      <alignment horizontal="left"/>
    </xf>
    <xf numFmtId="49" fontId="19" fillId="0" borderId="0" xfId="0" applyNumberFormat="1" applyFont="1" applyAlignment="1" applyProtection="1">
      <alignment horizontal="center" wrapText="1"/>
    </xf>
    <xf numFmtId="0" fontId="7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49" fontId="19" fillId="0" borderId="0" xfId="0" applyNumberFormat="1" applyFont="1" applyAlignment="1">
      <alignment horizontal="center" wrapText="1"/>
    </xf>
  </cellXfs>
  <cellStyles count="11">
    <cellStyle name="Comma" xfId="1" builtinId="3"/>
    <cellStyle name="Comma0" xfId="2" xr:uid="{00000000-0005-0000-0000-000001000000}"/>
    <cellStyle name="Currency" xfId="3" builtinId="4"/>
    <cellStyle name="Currency0" xfId="4" xr:uid="{00000000-0005-0000-0000-000003000000}"/>
    <cellStyle name="Date" xfId="5" xr:uid="{00000000-0005-0000-0000-000004000000}"/>
    <cellStyle name="Fixed" xfId="6" xr:uid="{00000000-0005-0000-0000-000005000000}"/>
    <cellStyle name="Heading 1" xfId="7" builtinId="16" customBuiltin="1"/>
    <cellStyle name="Heading 2" xfId="8" builtinId="17" customBuiltin="1"/>
    <cellStyle name="Normal" xfId="0" builtinId="0"/>
    <cellStyle name="Percent" xfId="9" builtinId="5"/>
    <cellStyle name="Total" xfId="10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118"/>
  <sheetViews>
    <sheetView tabSelected="1" zoomScale="90" zoomScaleNormal="90" zoomScaleSheetLayoutView="100" workbookViewId="0">
      <selection activeCell="A3" sqref="A3:I3"/>
    </sheetView>
  </sheetViews>
  <sheetFormatPr defaultRowHeight="12.75" x14ac:dyDescent="0.2"/>
  <cols>
    <col min="1" max="1" width="30.28515625" customWidth="1"/>
    <col min="2" max="2" width="12.5703125" customWidth="1"/>
    <col min="3" max="3" width="29" customWidth="1"/>
    <col min="4" max="4" width="13.7109375" customWidth="1"/>
    <col min="5" max="5" width="10.42578125" bestFit="1" customWidth="1"/>
    <col min="6" max="6" width="10.42578125" customWidth="1"/>
    <col min="7" max="7" width="12" customWidth="1"/>
    <col min="8" max="8" width="14.7109375" customWidth="1"/>
    <col min="9" max="9" width="27.140625" bestFit="1" customWidth="1"/>
    <col min="10" max="10" width="10.85546875" hidden="1" customWidth="1"/>
    <col min="11" max="11" width="13.42578125" hidden="1" customWidth="1"/>
    <col min="12" max="12" width="10.28515625" hidden="1" customWidth="1"/>
    <col min="13" max="16" width="0" hidden="1" customWidth="1"/>
    <col min="35" max="35" width="19.140625" customWidth="1"/>
  </cols>
  <sheetData>
    <row r="1" spans="1:12" ht="15.75" x14ac:dyDescent="0.2">
      <c r="A1" s="323">
        <f ca="1">TODAY()</f>
        <v>44407</v>
      </c>
      <c r="B1" s="380" t="s">
        <v>244</v>
      </c>
      <c r="C1" s="381"/>
      <c r="D1" s="381"/>
      <c r="E1" s="381"/>
      <c r="F1" s="381"/>
      <c r="G1" s="1"/>
      <c r="H1" s="383"/>
      <c r="I1" s="383"/>
    </row>
    <row r="2" spans="1:12" ht="15.75" x14ac:dyDescent="0.2">
      <c r="B2" s="380" t="s">
        <v>245</v>
      </c>
      <c r="C2" s="381"/>
      <c r="D2" s="381"/>
      <c r="E2" s="381"/>
      <c r="F2" s="381"/>
      <c r="G2" s="1"/>
      <c r="H2" s="367" t="s">
        <v>277</v>
      </c>
    </row>
    <row r="3" spans="1:12" x14ac:dyDescent="0.2">
      <c r="A3" s="382" t="s">
        <v>274</v>
      </c>
      <c r="B3" s="382"/>
      <c r="C3" s="382"/>
      <c r="D3" s="382"/>
      <c r="E3" s="382"/>
      <c r="F3" s="382"/>
      <c r="G3" s="382"/>
      <c r="H3" s="382"/>
      <c r="I3" s="382"/>
    </row>
    <row r="4" spans="1:12" x14ac:dyDescent="0.2">
      <c r="A4" s="239" t="s">
        <v>1</v>
      </c>
      <c r="B4" s="240" t="s">
        <v>2</v>
      </c>
      <c r="C4" s="241"/>
      <c r="D4" s="242"/>
      <c r="E4" s="243"/>
      <c r="F4" s="243"/>
      <c r="G4" s="243"/>
      <c r="H4" s="244"/>
      <c r="I4" s="244"/>
      <c r="J4" s="244"/>
      <c r="K4" s="244"/>
      <c r="L4" s="244"/>
    </row>
    <row r="5" spans="1:12" ht="13.5" thickBot="1" x14ac:dyDescent="0.25">
      <c r="A5" s="239" t="s">
        <v>7</v>
      </c>
      <c r="B5" s="239" t="s">
        <v>8</v>
      </c>
      <c r="C5" s="245"/>
      <c r="D5" s="246" t="s">
        <v>22</v>
      </c>
      <c r="E5" s="243" t="s">
        <v>3</v>
      </c>
      <c r="F5" s="243" t="s">
        <v>4</v>
      </c>
      <c r="G5" s="243" t="s">
        <v>5</v>
      </c>
      <c r="H5" s="245" t="s">
        <v>0</v>
      </c>
      <c r="I5" s="245" t="s">
        <v>6</v>
      </c>
      <c r="J5" s="247" t="s">
        <v>203</v>
      </c>
      <c r="K5" s="247" t="s">
        <v>204</v>
      </c>
      <c r="L5" s="247" t="s">
        <v>205</v>
      </c>
    </row>
    <row r="6" spans="1:12" x14ac:dyDescent="0.2">
      <c r="A6" s="239" t="s">
        <v>9</v>
      </c>
      <c r="B6" s="217"/>
      <c r="C6" s="369" t="s">
        <v>30</v>
      </c>
      <c r="D6" s="310">
        <f>B6*E6</f>
        <v>0</v>
      </c>
      <c r="E6" s="248">
        <v>0.108</v>
      </c>
      <c r="F6" s="336">
        <v>0.152</v>
      </c>
      <c r="G6" s="248">
        <v>0</v>
      </c>
      <c r="H6" s="249">
        <f>SUM(E6,F6,G6)</f>
        <v>0.26</v>
      </c>
      <c r="I6" s="315">
        <f>B6*H6</f>
        <v>0</v>
      </c>
      <c r="J6" s="251">
        <f>E6*B6</f>
        <v>0</v>
      </c>
      <c r="K6" s="252">
        <f>F6*B6</f>
        <v>0</v>
      </c>
      <c r="L6" s="252">
        <f>G6*B6</f>
        <v>0</v>
      </c>
    </row>
    <row r="7" spans="1:12" ht="13.5" thickBot="1" x14ac:dyDescent="0.25">
      <c r="A7" s="239" t="s">
        <v>11</v>
      </c>
      <c r="B7" s="218"/>
      <c r="C7" s="245" t="s">
        <v>31</v>
      </c>
      <c r="D7" s="310">
        <f>B7*E7</f>
        <v>0</v>
      </c>
      <c r="E7" s="248">
        <v>0.43099999999999999</v>
      </c>
      <c r="F7" s="248">
        <v>0.60699999999999998</v>
      </c>
      <c r="G7" s="248">
        <v>0</v>
      </c>
      <c r="H7" s="249">
        <f>SUM(E7,F7,G7)</f>
        <v>1.038</v>
      </c>
      <c r="I7" s="315">
        <f>B7*H7</f>
        <v>0</v>
      </c>
      <c r="J7" s="251">
        <f>E7*B7</f>
        <v>0</v>
      </c>
      <c r="K7" s="252">
        <f>F7*B7</f>
        <v>0</v>
      </c>
      <c r="L7" s="252">
        <f>G7*B7</f>
        <v>0</v>
      </c>
    </row>
    <row r="8" spans="1:12" x14ac:dyDescent="0.2">
      <c r="A8" s="239"/>
      <c r="B8" s="254"/>
      <c r="C8" s="245"/>
      <c r="D8" s="310"/>
      <c r="E8" s="245"/>
      <c r="F8" s="244"/>
      <c r="G8" s="245"/>
      <c r="H8" s="244"/>
      <c r="I8" s="315" t="s">
        <v>224</v>
      </c>
      <c r="J8" s="251"/>
      <c r="K8" s="244"/>
      <c r="L8" s="244"/>
    </row>
    <row r="9" spans="1:12" ht="13.5" thickBot="1" x14ac:dyDescent="0.25">
      <c r="A9" s="239" t="s">
        <v>227</v>
      </c>
      <c r="B9" s="255" t="s">
        <v>218</v>
      </c>
      <c r="C9" s="245"/>
      <c r="D9" s="311"/>
      <c r="E9" s="243" t="s">
        <v>3</v>
      </c>
      <c r="F9" s="243" t="s">
        <v>4</v>
      </c>
      <c r="G9" s="243" t="s">
        <v>5</v>
      </c>
      <c r="H9" s="245" t="s">
        <v>220</v>
      </c>
      <c r="I9" s="315" t="s">
        <v>13</v>
      </c>
      <c r="J9" s="251"/>
      <c r="K9" s="251"/>
      <c r="L9" s="244"/>
    </row>
    <row r="10" spans="1:12" x14ac:dyDescent="0.2">
      <c r="A10" s="239" t="s">
        <v>131</v>
      </c>
      <c r="B10" s="238"/>
      <c r="C10" s="245" t="s">
        <v>10</v>
      </c>
      <c r="D10" s="310">
        <f>B10*E10</f>
        <v>0</v>
      </c>
      <c r="E10" s="256">
        <v>28.8</v>
      </c>
      <c r="F10" s="256">
        <v>40.4</v>
      </c>
      <c r="G10" s="256">
        <v>0</v>
      </c>
      <c r="H10" s="256">
        <f>E10+F10+G10</f>
        <v>69.2</v>
      </c>
      <c r="I10" s="315">
        <f>B10*H10</f>
        <v>0</v>
      </c>
      <c r="J10" s="251">
        <f>E10*B10</f>
        <v>0</v>
      </c>
      <c r="K10" s="252">
        <f>F10*B10</f>
        <v>0</v>
      </c>
      <c r="L10" s="252">
        <f>G10*B10</f>
        <v>0</v>
      </c>
    </row>
    <row r="11" spans="1:12" x14ac:dyDescent="0.2">
      <c r="A11" s="239" t="s">
        <v>132</v>
      </c>
      <c r="B11" s="220"/>
      <c r="C11" s="245" t="s">
        <v>10</v>
      </c>
      <c r="D11" s="310">
        <f>B11*E11</f>
        <v>0</v>
      </c>
      <c r="E11" s="257">
        <v>172.4</v>
      </c>
      <c r="F11" s="257">
        <v>242.8</v>
      </c>
      <c r="G11" s="257">
        <v>0</v>
      </c>
      <c r="H11" s="256">
        <f>E11+F11+G11</f>
        <v>415.20000000000005</v>
      </c>
      <c r="I11" s="315">
        <f>B11*H11</f>
        <v>0</v>
      </c>
      <c r="J11" s="251">
        <f>E11*B11</f>
        <v>0</v>
      </c>
      <c r="K11" s="252">
        <f>F11*B11</f>
        <v>0</v>
      </c>
      <c r="L11" s="252">
        <f>G11*B11</f>
        <v>0</v>
      </c>
    </row>
    <row r="12" spans="1:12" ht="13.5" thickBot="1" x14ac:dyDescent="0.25">
      <c r="A12" s="239" t="s">
        <v>226</v>
      </c>
      <c r="B12" s="206"/>
      <c r="C12" s="245" t="s">
        <v>202</v>
      </c>
      <c r="D12" s="310">
        <f>B12*E12</f>
        <v>0</v>
      </c>
      <c r="E12" s="257">
        <v>14.2</v>
      </c>
      <c r="F12" s="257">
        <v>30.2</v>
      </c>
      <c r="G12" s="257">
        <f>G17*2.5*70</f>
        <v>0</v>
      </c>
      <c r="H12" s="256">
        <f>E12+F12+G12</f>
        <v>44.4</v>
      </c>
      <c r="I12" s="315">
        <f>B12*H12</f>
        <v>0</v>
      </c>
      <c r="J12" s="251">
        <f>E12*B12</f>
        <v>0</v>
      </c>
      <c r="K12" s="252">
        <f>F12*B12</f>
        <v>0</v>
      </c>
      <c r="L12" s="252">
        <f>G12*B12</f>
        <v>0</v>
      </c>
    </row>
    <row r="13" spans="1:12" x14ac:dyDescent="0.2">
      <c r="A13" s="239" t="s">
        <v>133</v>
      </c>
      <c r="B13" s="325">
        <f>B10+B12</f>
        <v>0</v>
      </c>
      <c r="C13" s="245" t="s">
        <v>10</v>
      </c>
      <c r="D13" s="310">
        <f>B13*E13</f>
        <v>0</v>
      </c>
      <c r="E13" s="257">
        <v>19.133333333333333</v>
      </c>
      <c r="F13" s="257">
        <v>27</v>
      </c>
      <c r="G13" s="257">
        <v>0</v>
      </c>
      <c r="H13" s="256">
        <f>E13+F13+G13</f>
        <v>46.133333333333333</v>
      </c>
      <c r="I13" s="315">
        <f>B13*H13</f>
        <v>0</v>
      </c>
      <c r="J13" s="251">
        <f>E13*B13</f>
        <v>0</v>
      </c>
      <c r="K13" s="252">
        <f>F13*B13</f>
        <v>0</v>
      </c>
      <c r="L13" s="252">
        <f>G13*B13</f>
        <v>0</v>
      </c>
    </row>
    <row r="14" spans="1:12" x14ac:dyDescent="0.2">
      <c r="A14" s="239"/>
      <c r="B14" s="258"/>
      <c r="C14" s="245"/>
      <c r="D14" s="310"/>
      <c r="E14" s="259"/>
      <c r="F14" s="259"/>
      <c r="G14" s="259"/>
      <c r="H14" s="259"/>
      <c r="I14" s="316"/>
      <c r="J14" s="251"/>
      <c r="K14" s="252"/>
      <c r="L14" s="252"/>
    </row>
    <row r="15" spans="1:12" s="182" customFormat="1" ht="13.5" thickBot="1" x14ac:dyDescent="0.25">
      <c r="A15" s="260"/>
      <c r="B15" s="261" t="s">
        <v>219</v>
      </c>
      <c r="C15" s="262"/>
      <c r="D15" s="312"/>
      <c r="E15" s="243" t="s">
        <v>3</v>
      </c>
      <c r="F15" s="243" t="s">
        <v>4</v>
      </c>
      <c r="G15" s="243" t="s">
        <v>5</v>
      </c>
      <c r="H15" s="245" t="s">
        <v>0</v>
      </c>
      <c r="I15" s="317"/>
      <c r="J15" s="263"/>
      <c r="K15" s="264"/>
      <c r="L15" s="264"/>
    </row>
    <row r="16" spans="1:12" x14ac:dyDescent="0.2">
      <c r="A16" s="239" t="s">
        <v>134</v>
      </c>
      <c r="B16" s="217"/>
      <c r="C16" s="245" t="s">
        <v>10</v>
      </c>
      <c r="D16" s="310">
        <f>B16*E16</f>
        <v>0</v>
      </c>
      <c r="E16" s="257">
        <v>1.18</v>
      </c>
      <c r="F16" s="257">
        <v>2.2266666666666666</v>
      </c>
      <c r="G16" s="257">
        <v>0</v>
      </c>
      <c r="H16" s="256">
        <f>E16+F16+G16</f>
        <v>3.4066666666666663</v>
      </c>
      <c r="I16" s="315">
        <f>B16*H16</f>
        <v>0</v>
      </c>
      <c r="J16" s="251">
        <f>E16*B16</f>
        <v>0</v>
      </c>
      <c r="K16" s="252">
        <f>F16*B16</f>
        <v>0</v>
      </c>
      <c r="L16" s="252">
        <f>G16*B16</f>
        <v>0</v>
      </c>
    </row>
    <row r="17" spans="1:12" ht="13.5" thickBot="1" x14ac:dyDescent="0.25">
      <c r="A17" s="239" t="s">
        <v>118</v>
      </c>
      <c r="B17" s="218"/>
      <c r="C17" s="265" t="s">
        <v>202</v>
      </c>
      <c r="D17" s="310">
        <f>B17*E17</f>
        <v>0</v>
      </c>
      <c r="E17" s="266">
        <v>1.4200000000000001E-2</v>
      </c>
      <c r="F17" s="266">
        <v>3.0200000000000001E-2</v>
      </c>
      <c r="G17" s="266">
        <v>0</v>
      </c>
      <c r="H17" s="266">
        <f>E17+F17+G17</f>
        <v>4.4400000000000002E-2</v>
      </c>
      <c r="I17" s="315">
        <f>B17*H17</f>
        <v>0</v>
      </c>
      <c r="J17" s="251">
        <f>E17*B17</f>
        <v>0</v>
      </c>
      <c r="K17" s="252">
        <f>F17*B17</f>
        <v>0</v>
      </c>
      <c r="L17" s="252">
        <f>G17*B17</f>
        <v>0</v>
      </c>
    </row>
    <row r="18" spans="1:12" x14ac:dyDescent="0.2">
      <c r="A18" s="245"/>
      <c r="B18" s="254"/>
      <c r="C18" s="245"/>
      <c r="D18" s="313"/>
      <c r="E18" s="267"/>
      <c r="F18" s="267"/>
      <c r="G18" s="267"/>
      <c r="H18" s="268"/>
      <c r="I18" s="315"/>
      <c r="J18" s="251"/>
      <c r="K18" s="244"/>
      <c r="L18" s="244"/>
    </row>
    <row r="19" spans="1:12" x14ac:dyDescent="0.2">
      <c r="A19" s="245"/>
      <c r="B19" s="301" t="s">
        <v>228</v>
      </c>
      <c r="C19" s="245"/>
      <c r="D19" s="313"/>
      <c r="E19" s="243" t="s">
        <v>3</v>
      </c>
      <c r="F19" s="243" t="s">
        <v>4</v>
      </c>
      <c r="G19" s="243" t="s">
        <v>5</v>
      </c>
      <c r="H19" s="245" t="s">
        <v>229</v>
      </c>
      <c r="I19" s="315"/>
      <c r="J19" s="251"/>
      <c r="K19" s="244"/>
      <c r="L19" s="244"/>
    </row>
    <row r="20" spans="1:12" x14ac:dyDescent="0.2">
      <c r="A20" s="269" t="s">
        <v>250</v>
      </c>
      <c r="B20" s="324">
        <f>D40</f>
        <v>0</v>
      </c>
      <c r="C20" s="245" t="s">
        <v>12</v>
      </c>
      <c r="D20" s="310">
        <f>B20*E20</f>
        <v>0</v>
      </c>
      <c r="E20" s="253">
        <v>140</v>
      </c>
      <c r="F20" s="253">
        <v>50</v>
      </c>
      <c r="G20" s="253">
        <v>332.75</v>
      </c>
      <c r="H20" s="256">
        <f>E20+F20+G20</f>
        <v>522.75</v>
      </c>
      <c r="I20" s="315">
        <f>B20*H20</f>
        <v>0</v>
      </c>
      <c r="J20" s="251">
        <f>E20*B20</f>
        <v>0</v>
      </c>
      <c r="K20" s="252">
        <f>F20*B20</f>
        <v>0</v>
      </c>
      <c r="L20" s="252">
        <f>G20*B20</f>
        <v>0</v>
      </c>
    </row>
    <row r="21" spans="1:12" x14ac:dyDescent="0.2">
      <c r="A21" s="245"/>
      <c r="B21" s="254"/>
      <c r="C21" s="245"/>
      <c r="D21" s="313"/>
      <c r="E21" s="267"/>
      <c r="F21" s="267"/>
      <c r="G21" s="267"/>
      <c r="H21" s="268"/>
      <c r="I21" s="315"/>
      <c r="J21" s="251"/>
      <c r="K21" s="244"/>
      <c r="L21" s="244"/>
    </row>
    <row r="22" spans="1:12" x14ac:dyDescent="0.2">
      <c r="A22" s="245"/>
      <c r="B22" s="254"/>
      <c r="C22" s="241"/>
      <c r="D22" s="314"/>
      <c r="E22" s="243" t="s">
        <v>3</v>
      </c>
      <c r="F22" s="243" t="s">
        <v>4</v>
      </c>
      <c r="G22" s="267"/>
      <c r="H22" s="268" t="s">
        <v>188</v>
      </c>
      <c r="I22" s="281"/>
      <c r="J22" s="251"/>
      <c r="K22" s="244"/>
      <c r="L22" s="244"/>
    </row>
    <row r="23" spans="1:12" x14ac:dyDescent="0.2">
      <c r="A23" s="269" t="s">
        <v>225</v>
      </c>
      <c r="B23" s="270"/>
      <c r="C23" s="241" t="s">
        <v>185</v>
      </c>
      <c r="D23" s="310">
        <f>IF((B6+B7+B10+B11)&gt;0.009,E23,0)</f>
        <v>0</v>
      </c>
      <c r="E23" s="249">
        <f>H23*0.46</f>
        <v>792.12</v>
      </c>
      <c r="F23" s="249">
        <f>H23*0.54</f>
        <v>929.88000000000011</v>
      </c>
      <c r="G23" s="268"/>
      <c r="H23" s="370">
        <v>1722</v>
      </c>
      <c r="I23" s="315">
        <f>IF((B6+B7+B10+B11)&gt;0.01,H23,0)</f>
        <v>0</v>
      </c>
      <c r="J23" s="251">
        <f>D23</f>
        <v>0</v>
      </c>
      <c r="K23" s="252">
        <f>I23-D23</f>
        <v>0</v>
      </c>
      <c r="L23" s="252">
        <f>G23*B23</f>
        <v>0</v>
      </c>
    </row>
    <row r="24" spans="1:12" x14ac:dyDescent="0.2">
      <c r="A24" s="269" t="s">
        <v>225</v>
      </c>
      <c r="B24" s="270"/>
      <c r="C24" s="241" t="s">
        <v>186</v>
      </c>
      <c r="D24" s="329">
        <f>IF((B12+B16+B17)&gt;0.009,E24,0)</f>
        <v>0</v>
      </c>
      <c r="E24" s="249">
        <f>H24*0.42</f>
        <v>540.96</v>
      </c>
      <c r="F24" s="249">
        <f>H24*0.58</f>
        <v>747.04</v>
      </c>
      <c r="G24" s="268"/>
      <c r="H24" s="370">
        <v>1288</v>
      </c>
      <c r="I24" s="310">
        <f>IF((B12+B16+B17)&gt;0.009,H24,0)</f>
        <v>0</v>
      </c>
      <c r="J24" s="251">
        <f>D24</f>
        <v>0</v>
      </c>
      <c r="K24" s="252">
        <f>I24-D24</f>
        <v>0</v>
      </c>
      <c r="L24" s="252">
        <f>G24*B24</f>
        <v>0</v>
      </c>
    </row>
    <row r="25" spans="1:12" x14ac:dyDescent="0.2">
      <c r="A25" s="239"/>
      <c r="B25" s="254"/>
      <c r="C25" s="244"/>
      <c r="D25" s="310"/>
      <c r="E25" s="244"/>
      <c r="F25" s="244"/>
      <c r="G25" s="244"/>
      <c r="H25" s="244"/>
      <c r="I25" s="318"/>
      <c r="J25" s="251"/>
      <c r="K25" s="244"/>
      <c r="L25" s="244"/>
    </row>
    <row r="26" spans="1:12" ht="13.5" thickBot="1" x14ac:dyDescent="0.25">
      <c r="A26" s="247" t="s">
        <v>23</v>
      </c>
      <c r="B26" s="255" t="s">
        <v>15</v>
      </c>
      <c r="C26" s="271"/>
      <c r="D26" s="311"/>
      <c r="E26" s="243" t="s">
        <v>3</v>
      </c>
      <c r="F26" s="243" t="s">
        <v>4</v>
      </c>
      <c r="G26" s="243" t="s">
        <v>5</v>
      </c>
      <c r="H26" s="245" t="s">
        <v>14</v>
      </c>
      <c r="I26" s="315" t="s">
        <v>16</v>
      </c>
      <c r="J26" s="251"/>
      <c r="K26" s="244"/>
      <c r="L26" s="244"/>
    </row>
    <row r="27" spans="1:12" x14ac:dyDescent="0.2">
      <c r="A27" s="239" t="s">
        <v>17</v>
      </c>
      <c r="B27" s="207"/>
      <c r="C27" s="245" t="s">
        <v>32</v>
      </c>
      <c r="D27" s="310">
        <f>B27*E27</f>
        <v>0</v>
      </c>
      <c r="E27" s="248">
        <v>0.55900000000000005</v>
      </c>
      <c r="F27" s="248">
        <v>0.77100000000000002</v>
      </c>
      <c r="G27" s="248">
        <v>0.38200000000000001</v>
      </c>
      <c r="H27" s="249">
        <f>SUM(E27,F27,G27)</f>
        <v>1.7120000000000002</v>
      </c>
      <c r="I27" s="315">
        <f>B27*H27</f>
        <v>0</v>
      </c>
      <c r="J27" s="251">
        <f>E27*B27</f>
        <v>0</v>
      </c>
      <c r="K27" s="252">
        <f>F27*B27</f>
        <v>0</v>
      </c>
      <c r="L27" s="252">
        <f>G27*B27</f>
        <v>0</v>
      </c>
    </row>
    <row r="28" spans="1:12" x14ac:dyDescent="0.2">
      <c r="A28" s="239" t="s">
        <v>18</v>
      </c>
      <c r="B28" s="216"/>
      <c r="C28" s="245" t="s">
        <v>33</v>
      </c>
      <c r="D28" s="310">
        <f>B28*E28</f>
        <v>0</v>
      </c>
      <c r="E28" s="248">
        <v>0.66400000000000003</v>
      </c>
      <c r="F28" s="248">
        <v>0.26600000000000001</v>
      </c>
      <c r="G28" s="248">
        <v>1.4E-2</v>
      </c>
      <c r="H28" s="249">
        <f>SUM(E28,F28,G28)</f>
        <v>0.94400000000000006</v>
      </c>
      <c r="I28" s="315">
        <f>B28*H28</f>
        <v>0</v>
      </c>
      <c r="J28" s="251">
        <f>E28*B28</f>
        <v>0</v>
      </c>
      <c r="K28" s="252">
        <f>F28*B28</f>
        <v>0</v>
      </c>
      <c r="L28" s="252">
        <f>G28*B28</f>
        <v>0</v>
      </c>
    </row>
    <row r="29" spans="1:12" ht="13.5" thickBot="1" x14ac:dyDescent="0.25">
      <c r="A29" s="239" t="s">
        <v>129</v>
      </c>
      <c r="B29" s="215"/>
      <c r="C29" s="245" t="s">
        <v>130</v>
      </c>
      <c r="D29" s="310">
        <f>B29*E29</f>
        <v>0</v>
      </c>
      <c r="E29" s="248">
        <v>0.755</v>
      </c>
      <c r="F29" s="248">
        <v>1.0629999999999999</v>
      </c>
      <c r="G29" s="248">
        <v>0</v>
      </c>
      <c r="H29" s="249">
        <f>SUM(E29,F29,G29)</f>
        <v>1.8180000000000001</v>
      </c>
      <c r="I29" s="315">
        <f>B29*H29</f>
        <v>0</v>
      </c>
      <c r="J29" s="251">
        <f>E29*B29</f>
        <v>0</v>
      </c>
      <c r="K29" s="252">
        <f>F29*B29</f>
        <v>0</v>
      </c>
      <c r="L29" s="252">
        <f>G29*B29</f>
        <v>0</v>
      </c>
    </row>
    <row r="30" spans="1:12" x14ac:dyDescent="0.2">
      <c r="A30" s="239"/>
      <c r="B30" s="272"/>
      <c r="C30" s="245"/>
      <c r="D30" s="310"/>
      <c r="E30" s="248"/>
      <c r="F30" s="248"/>
      <c r="G30" s="248"/>
      <c r="H30" s="249"/>
      <c r="I30" s="315"/>
      <c r="J30" s="251"/>
      <c r="K30" s="252"/>
      <c r="L30" s="252"/>
    </row>
    <row r="31" spans="1:12" x14ac:dyDescent="0.2">
      <c r="A31" s="245"/>
      <c r="B31" s="245"/>
      <c r="C31" s="245"/>
      <c r="D31" s="310"/>
      <c r="E31" s="243" t="s">
        <v>3</v>
      </c>
      <c r="F31" s="243" t="s">
        <v>4</v>
      </c>
      <c r="G31" s="268"/>
      <c r="H31" s="268" t="str">
        <f>H22</f>
        <v>Mob+Demob</v>
      </c>
      <c r="I31" s="318"/>
      <c r="J31" s="251"/>
      <c r="K31" s="252"/>
      <c r="L31" s="252"/>
    </row>
    <row r="32" spans="1:12" x14ac:dyDescent="0.2">
      <c r="A32" s="269" t="s">
        <v>225</v>
      </c>
      <c r="B32" s="245"/>
      <c r="C32" s="245" t="s">
        <v>28</v>
      </c>
      <c r="D32" s="310">
        <f>IF((B27+B29)&gt;0,E32,0)</f>
        <v>0</v>
      </c>
      <c r="E32" s="273">
        <f>H32*0.36</f>
        <v>728.28</v>
      </c>
      <c r="F32" s="249">
        <f>H32*0.64</f>
        <v>1294.72</v>
      </c>
      <c r="G32" s="268"/>
      <c r="H32" s="371">
        <v>2023</v>
      </c>
      <c r="I32" s="315">
        <f>IF((B27+B29)&gt;0,H32,0)</f>
        <v>0</v>
      </c>
      <c r="J32" s="251">
        <f>D32</f>
        <v>0</v>
      </c>
      <c r="K32" s="252">
        <f>I32-D32</f>
        <v>0</v>
      </c>
      <c r="L32" s="244"/>
    </row>
    <row r="33" spans="1:15" x14ac:dyDescent="0.2">
      <c r="A33" s="269" t="s">
        <v>225</v>
      </c>
      <c r="B33" s="245"/>
      <c r="C33" s="245" t="s">
        <v>29</v>
      </c>
      <c r="D33" s="310">
        <f>IF(B28&gt;0,E33,0)</f>
        <v>0</v>
      </c>
      <c r="E33" s="273">
        <f>H33*0.65</f>
        <v>867.75</v>
      </c>
      <c r="F33" s="249">
        <f>H33*0.35</f>
        <v>467.24999999999994</v>
      </c>
      <c r="G33" s="268"/>
      <c r="H33" s="370">
        <v>1335</v>
      </c>
      <c r="I33" s="315">
        <f>IF(B28&gt;0,H33,0)</f>
        <v>0</v>
      </c>
      <c r="J33" s="251">
        <f>D33</f>
        <v>0</v>
      </c>
      <c r="K33" s="252">
        <f>I33-D33</f>
        <v>0</v>
      </c>
      <c r="L33" s="244"/>
    </row>
    <row r="34" spans="1:15" x14ac:dyDescent="0.2">
      <c r="A34" s="274" t="s">
        <v>201</v>
      </c>
      <c r="B34" s="275" t="s">
        <v>42</v>
      </c>
      <c r="C34" s="276" t="s">
        <v>117</v>
      </c>
      <c r="D34" s="277" t="s">
        <v>228</v>
      </c>
      <c r="E34" s="278"/>
      <c r="F34" s="278"/>
      <c r="G34" s="268"/>
      <c r="H34" s="268"/>
      <c r="I34" s="315"/>
      <c r="J34" s="244"/>
      <c r="K34" s="244"/>
      <c r="L34" s="244"/>
    </row>
    <row r="35" spans="1:15" x14ac:dyDescent="0.2">
      <c r="A35" s="279" t="s">
        <v>214</v>
      </c>
      <c r="B35" s="303">
        <f>Roads!M7</f>
        <v>0</v>
      </c>
      <c r="C35" s="280">
        <f>Roads!C7</f>
        <v>0</v>
      </c>
      <c r="D35" s="307">
        <f>Roads!N7</f>
        <v>0</v>
      </c>
      <c r="E35" s="244"/>
      <c r="F35" s="245"/>
      <c r="G35" s="245"/>
      <c r="H35" s="245"/>
      <c r="I35" s="281" t="s">
        <v>21</v>
      </c>
      <c r="J35" s="282"/>
      <c r="K35" s="282"/>
      <c r="L35" s="282"/>
      <c r="M35" s="210" t="s">
        <v>193</v>
      </c>
    </row>
    <row r="36" spans="1:15" x14ac:dyDescent="0.2">
      <c r="A36" s="283" t="s">
        <v>215</v>
      </c>
      <c r="B36" s="304">
        <f>'Drill Sites'!N8</f>
        <v>0</v>
      </c>
      <c r="C36" s="284"/>
      <c r="D36" s="308">
        <f>'Drill Sites'!O8</f>
        <v>0</v>
      </c>
      <c r="E36" s="244"/>
      <c r="F36" s="245"/>
      <c r="G36" s="245"/>
      <c r="H36" s="245"/>
      <c r="I36" s="250">
        <f>IF(B40&lt;5.01,(SUM(I6:I33)),O36)</f>
        <v>0</v>
      </c>
      <c r="J36" s="251">
        <f>SUM(J6:J33)</f>
        <v>0</v>
      </c>
      <c r="K36" s="251">
        <f>SUM(K6:K33)</f>
        <v>0</v>
      </c>
      <c r="L36" s="251">
        <f>SUM(L6:L33)</f>
        <v>0</v>
      </c>
      <c r="M36" s="211">
        <f>J36+K36+L36</f>
        <v>0</v>
      </c>
      <c r="O36" s="5" t="s">
        <v>221</v>
      </c>
    </row>
    <row r="37" spans="1:15" ht="25.5" x14ac:dyDescent="0.2">
      <c r="A37" s="285" t="s">
        <v>133</v>
      </c>
      <c r="B37" s="305">
        <f>Sumps!P7</f>
        <v>0</v>
      </c>
      <c r="C37" s="286"/>
      <c r="D37" s="308">
        <f>Sumps!P7</f>
        <v>0</v>
      </c>
      <c r="E37" s="244"/>
      <c r="F37" s="245"/>
      <c r="G37" s="245"/>
      <c r="H37" s="245"/>
      <c r="I37" s="315"/>
      <c r="J37" s="287" t="s">
        <v>206</v>
      </c>
      <c r="K37" s="287" t="s">
        <v>206</v>
      </c>
      <c r="L37" s="287" t="s">
        <v>206</v>
      </c>
    </row>
    <row r="38" spans="1:15" x14ac:dyDescent="0.2">
      <c r="A38" s="285" t="s">
        <v>134</v>
      </c>
      <c r="B38" s="305">
        <f>Trenches!N7</f>
        <v>0</v>
      </c>
      <c r="C38" s="280">
        <f>Trenches!C7</f>
        <v>0</v>
      </c>
      <c r="D38" s="308">
        <f>Trenches!N7</f>
        <v>0</v>
      </c>
      <c r="E38" s="244"/>
      <c r="F38" s="245"/>
      <c r="G38" s="245"/>
      <c r="H38" s="245"/>
      <c r="I38" s="315"/>
      <c r="J38" s="326" t="e">
        <f>J36/B40</f>
        <v>#DIV/0!</v>
      </c>
      <c r="K38" s="326" t="e">
        <f>K36/B40</f>
        <v>#DIV/0!</v>
      </c>
      <c r="L38" s="326" t="e">
        <f>L36/B40</f>
        <v>#DIV/0!</v>
      </c>
    </row>
    <row r="39" spans="1:15" x14ac:dyDescent="0.2">
      <c r="A39" s="288" t="s">
        <v>216</v>
      </c>
      <c r="B39" s="306">
        <f>'X-country'!H17</f>
        <v>0</v>
      </c>
      <c r="C39" s="289">
        <f>IF('X-country'!E17&gt;0,'X-country'!E17,'X-country'!D17)</f>
        <v>0</v>
      </c>
      <c r="D39" s="309">
        <f>'X-country'!H17</f>
        <v>0</v>
      </c>
      <c r="E39" s="244"/>
      <c r="F39" s="245"/>
      <c r="G39" s="245"/>
      <c r="H39" s="245"/>
      <c r="I39" s="290" t="s">
        <v>20</v>
      </c>
      <c r="J39" s="244"/>
      <c r="K39" s="244"/>
      <c r="L39" s="244"/>
    </row>
    <row r="40" spans="1:15" ht="15.75" x14ac:dyDescent="0.2">
      <c r="A40" s="339" t="s">
        <v>43</v>
      </c>
      <c r="B40" s="342">
        <f>SUM(B35:B39)</f>
        <v>0</v>
      </c>
      <c r="C40" s="340" t="s">
        <v>251</v>
      </c>
      <c r="D40" s="341">
        <f>SUM(D35:D39)</f>
        <v>0</v>
      </c>
      <c r="E40" s="244"/>
      <c r="F40" s="245"/>
      <c r="G40" s="245"/>
      <c r="H40" s="245"/>
      <c r="I40" s="291">
        <f>SUM(D6:D33)</f>
        <v>0</v>
      </c>
      <c r="J40" s="244"/>
      <c r="K40" s="244"/>
      <c r="L40" s="244"/>
    </row>
    <row r="41" spans="1:15" x14ac:dyDescent="0.2">
      <c r="A41" s="337"/>
      <c r="B41" s="338"/>
      <c r="C41" s="265"/>
      <c r="D41" s="305"/>
      <c r="E41" s="244"/>
      <c r="F41" s="245"/>
      <c r="G41" s="245"/>
      <c r="H41" s="245"/>
      <c r="I41" s="291"/>
      <c r="J41" s="244"/>
      <c r="K41" s="244"/>
      <c r="L41" s="244"/>
    </row>
    <row r="42" spans="1:15" x14ac:dyDescent="0.2">
      <c r="A42" s="302" t="s">
        <v>222</v>
      </c>
      <c r="B42" s="296"/>
      <c r="C42" s="241" t="s">
        <v>248</v>
      </c>
      <c r="D42" s="242"/>
      <c r="E42" s="244"/>
      <c r="F42" s="245"/>
      <c r="G42" s="377" t="s">
        <v>38</v>
      </c>
      <c r="H42" s="378"/>
      <c r="I42" s="319">
        <f>IF(I53&gt;100000,(0.1*I53),0)</f>
        <v>0</v>
      </c>
      <c r="J42" s="244"/>
      <c r="K42" s="244"/>
      <c r="L42" s="244"/>
    </row>
    <row r="43" spans="1:15" hidden="1" x14ac:dyDescent="0.2">
      <c r="A43" s="239"/>
      <c r="B43" s="292"/>
      <c r="C43" s="245"/>
      <c r="D43" s="242"/>
      <c r="E43" s="244"/>
      <c r="F43" s="245"/>
      <c r="G43" s="245" t="s">
        <v>27</v>
      </c>
      <c r="H43" s="293">
        <f>PRODUCT(I36,0.03)</f>
        <v>0</v>
      </c>
      <c r="I43" s="315"/>
      <c r="J43" s="244"/>
      <c r="K43" s="244"/>
      <c r="L43" s="244"/>
    </row>
    <row r="44" spans="1:15" x14ac:dyDescent="0.2">
      <c r="A44" s="297" t="s">
        <v>223</v>
      </c>
      <c r="B44" s="292"/>
      <c r="C44" s="241" t="s">
        <v>19</v>
      </c>
      <c r="D44" s="268"/>
      <c r="E44" s="244"/>
      <c r="F44" s="245"/>
      <c r="G44" s="245"/>
      <c r="H44" s="227" t="s">
        <v>25</v>
      </c>
      <c r="I44" s="320">
        <f>PRODUCT(I40,0.015)</f>
        <v>0</v>
      </c>
      <c r="J44" s="244"/>
      <c r="K44" s="244"/>
      <c r="L44" s="244"/>
    </row>
    <row r="45" spans="1:15" x14ac:dyDescent="0.2">
      <c r="A45" s="72" t="s">
        <v>166</v>
      </c>
      <c r="B45" s="292"/>
      <c r="C45" s="241" t="s">
        <v>247</v>
      </c>
      <c r="D45" s="268"/>
      <c r="E45" s="244"/>
      <c r="F45" s="245"/>
      <c r="G45" s="245"/>
      <c r="H45" s="294" t="s">
        <v>37</v>
      </c>
      <c r="I45" s="321">
        <f>IF(I36&gt;100000,+H43,0)</f>
        <v>0</v>
      </c>
      <c r="J45" s="244"/>
      <c r="K45" s="244"/>
      <c r="L45" s="244"/>
    </row>
    <row r="46" spans="1:15" x14ac:dyDescent="0.2">
      <c r="A46" s="350" t="s">
        <v>259</v>
      </c>
      <c r="C46" s="245" t="s">
        <v>26</v>
      </c>
      <c r="D46" s="245"/>
      <c r="E46" s="245"/>
      <c r="F46" s="245"/>
      <c r="G46" s="245"/>
      <c r="H46" s="294" t="s">
        <v>38</v>
      </c>
      <c r="I46" s="321">
        <f>PRODUCT(I36,0.1)</f>
        <v>0</v>
      </c>
      <c r="J46" s="244"/>
      <c r="K46" s="244"/>
      <c r="L46" s="244"/>
    </row>
    <row r="47" spans="1:15" x14ac:dyDescent="0.2">
      <c r="A47" s="351" t="s">
        <v>260</v>
      </c>
      <c r="B47" s="244"/>
      <c r="C47" s="241" t="s">
        <v>39</v>
      </c>
      <c r="D47" s="243"/>
      <c r="E47" s="244"/>
      <c r="F47" s="244"/>
      <c r="G47" s="244"/>
      <c r="H47" s="294" t="s">
        <v>38</v>
      </c>
      <c r="I47" s="321">
        <f>PRODUCT(I36,0.1)</f>
        <v>0</v>
      </c>
      <c r="J47" s="244"/>
      <c r="K47" s="244"/>
      <c r="L47" s="244"/>
    </row>
    <row r="48" spans="1:15" x14ac:dyDescent="0.2">
      <c r="B48" s="244"/>
      <c r="C48" s="241" t="s">
        <v>34</v>
      </c>
      <c r="D48" s="244"/>
      <c r="E48" s="244"/>
      <c r="F48" s="244"/>
      <c r="G48" s="244"/>
      <c r="H48" s="294" t="s">
        <v>40</v>
      </c>
      <c r="I48" s="321">
        <f>PRODUCT(I47,0.21)</f>
        <v>0</v>
      </c>
      <c r="J48" s="244"/>
      <c r="K48" s="244"/>
      <c r="L48" s="244"/>
    </row>
    <row r="49" spans="1:12" x14ac:dyDescent="0.2">
      <c r="A49" s="244"/>
      <c r="B49" s="244"/>
      <c r="C49" s="241"/>
      <c r="D49" s="244"/>
      <c r="E49" s="244"/>
      <c r="F49" s="244"/>
      <c r="G49" s="244"/>
      <c r="H49" s="227"/>
      <c r="I49" s="321"/>
      <c r="J49" s="244"/>
      <c r="K49" s="244"/>
      <c r="L49" s="244"/>
    </row>
    <row r="50" spans="1:12" x14ac:dyDescent="0.2">
      <c r="A50" s="332" t="s">
        <v>249</v>
      </c>
      <c r="B50" s="244"/>
      <c r="C50" s="244"/>
      <c r="D50" s="244"/>
      <c r="E50" s="244"/>
      <c r="F50" s="227"/>
      <c r="G50" s="227"/>
      <c r="H50" s="227"/>
      <c r="I50" s="298" t="s">
        <v>24</v>
      </c>
      <c r="J50" s="244"/>
      <c r="K50" s="244"/>
      <c r="L50" s="244"/>
    </row>
    <row r="51" spans="1:12" x14ac:dyDescent="0.2">
      <c r="A51" s="227"/>
      <c r="B51" s="227"/>
      <c r="C51" s="227"/>
      <c r="D51" s="227"/>
      <c r="E51" s="227"/>
      <c r="F51" s="227"/>
      <c r="G51" s="227"/>
      <c r="H51" s="227"/>
      <c r="I51" s="295">
        <f>I44+I45+I46+I47+I48</f>
        <v>0</v>
      </c>
      <c r="J51" s="244"/>
      <c r="K51" s="244"/>
      <c r="L51" s="244"/>
    </row>
    <row r="52" spans="1:12" ht="26.25" x14ac:dyDescent="0.25">
      <c r="A52" s="227"/>
      <c r="B52" s="227"/>
      <c r="C52" s="227"/>
      <c r="D52" s="287" t="s">
        <v>206</v>
      </c>
      <c r="E52" s="227"/>
      <c r="F52" s="227"/>
      <c r="G52" s="227"/>
      <c r="H52" s="299" t="s">
        <v>35</v>
      </c>
      <c r="I52" s="321"/>
      <c r="J52" s="287" t="s">
        <v>206</v>
      </c>
      <c r="K52" s="287"/>
      <c r="L52" s="287"/>
    </row>
    <row r="53" spans="1:12" ht="15.75" x14ac:dyDescent="0.25">
      <c r="A53" s="227"/>
      <c r="B53" s="227"/>
      <c r="C53" s="227"/>
      <c r="D53" s="328">
        <f>J53</f>
        <v>0</v>
      </c>
      <c r="E53" s="227"/>
      <c r="F53" s="227"/>
      <c r="G53" s="227"/>
      <c r="H53" s="299" t="s">
        <v>36</v>
      </c>
      <c r="I53" s="322">
        <f>IF(B40&lt;5.01,(SUM(I36,I51)),O36)</f>
        <v>0</v>
      </c>
      <c r="J53" s="327">
        <f>IF((I53&gt;0.5),I53/B40,0)</f>
        <v>0</v>
      </c>
      <c r="K53" s="244"/>
      <c r="L53" s="244"/>
    </row>
    <row r="54" spans="1:12" ht="16.5" thickBot="1" x14ac:dyDescent="0.3">
      <c r="A54" s="368" t="s">
        <v>273</v>
      </c>
      <c r="B54" s="227"/>
      <c r="C54" s="227"/>
      <c r="D54" s="328"/>
      <c r="E54" s="227"/>
      <c r="F54" s="227"/>
      <c r="G54" s="227"/>
      <c r="H54" s="299"/>
      <c r="I54" s="322"/>
      <c r="J54" s="327"/>
      <c r="K54" s="244"/>
      <c r="L54" s="244"/>
    </row>
    <row r="55" spans="1:12" x14ac:dyDescent="0.2">
      <c r="A55" s="385" t="s">
        <v>275</v>
      </c>
      <c r="B55" s="386"/>
      <c r="C55" s="386"/>
      <c r="D55" s="386"/>
      <c r="E55" s="386"/>
      <c r="F55" s="386"/>
      <c r="G55" s="386"/>
      <c r="H55" s="386"/>
      <c r="I55" s="387"/>
      <c r="J55" s="327"/>
      <c r="K55" s="244"/>
      <c r="L55" s="244"/>
    </row>
    <row r="56" spans="1:12" x14ac:dyDescent="0.2">
      <c r="A56" s="388"/>
      <c r="B56" s="389"/>
      <c r="C56" s="389"/>
      <c r="D56" s="389"/>
      <c r="E56" s="389"/>
      <c r="F56" s="389"/>
      <c r="G56" s="389"/>
      <c r="H56" s="389"/>
      <c r="I56" s="390"/>
      <c r="J56" s="327"/>
      <c r="K56" s="244"/>
      <c r="L56" s="244"/>
    </row>
    <row r="57" spans="1:12" x14ac:dyDescent="0.2">
      <c r="A57" s="388"/>
      <c r="B57" s="389"/>
      <c r="C57" s="389"/>
      <c r="D57" s="389"/>
      <c r="E57" s="389"/>
      <c r="F57" s="389"/>
      <c r="G57" s="389"/>
      <c r="H57" s="389"/>
      <c r="I57" s="390"/>
      <c r="J57" s="327"/>
      <c r="K57" s="244"/>
      <c r="L57" s="244"/>
    </row>
    <row r="58" spans="1:12" ht="13.5" thickBot="1" x14ac:dyDescent="0.25">
      <c r="A58" s="391"/>
      <c r="B58" s="392"/>
      <c r="C58" s="392"/>
      <c r="D58" s="392"/>
      <c r="E58" s="392"/>
      <c r="F58" s="392"/>
      <c r="G58" s="392"/>
      <c r="H58" s="392"/>
      <c r="I58" s="393"/>
      <c r="J58" s="327"/>
      <c r="K58" s="244"/>
      <c r="L58" s="244"/>
    </row>
    <row r="59" spans="1:12" x14ac:dyDescent="0.2">
      <c r="A59" s="384" t="s">
        <v>163</v>
      </c>
      <c r="B59" s="384"/>
      <c r="C59" s="384"/>
      <c r="D59" s="384"/>
      <c r="E59" s="384"/>
      <c r="F59" s="384"/>
      <c r="G59" s="384"/>
      <c r="H59" s="384"/>
      <c r="I59" s="384"/>
      <c r="J59" s="244"/>
      <c r="K59" s="244"/>
      <c r="L59" s="244"/>
    </row>
    <row r="60" spans="1:12" x14ac:dyDescent="0.2">
      <c r="A60" s="373" t="s">
        <v>270</v>
      </c>
      <c r="B60" s="373"/>
      <c r="C60" s="373"/>
      <c r="D60" s="373"/>
      <c r="E60" s="373"/>
      <c r="F60" s="373"/>
      <c r="G60" s="373"/>
      <c r="H60" s="373"/>
      <c r="I60" s="373"/>
      <c r="J60" s="244"/>
      <c r="K60" s="244"/>
      <c r="L60" s="244"/>
    </row>
    <row r="61" spans="1:12" x14ac:dyDescent="0.2">
      <c r="A61" s="376" t="s">
        <v>279</v>
      </c>
      <c r="B61" s="373"/>
      <c r="C61" s="373"/>
      <c r="D61" s="373"/>
      <c r="E61" s="373"/>
      <c r="F61" s="373"/>
      <c r="G61" s="373"/>
      <c r="H61" s="373"/>
      <c r="I61" s="373"/>
      <c r="J61" s="244"/>
      <c r="K61" s="244"/>
      <c r="L61" s="244"/>
    </row>
    <row r="62" spans="1:12" x14ac:dyDescent="0.2">
      <c r="A62" s="373" t="s">
        <v>230</v>
      </c>
      <c r="B62" s="373"/>
      <c r="C62" s="373"/>
      <c r="D62" s="373"/>
      <c r="E62" s="373"/>
      <c r="F62" s="373"/>
      <c r="G62" s="373"/>
      <c r="H62" s="373"/>
      <c r="I62" s="373"/>
      <c r="J62" s="244"/>
      <c r="K62" s="244"/>
      <c r="L62" s="244"/>
    </row>
    <row r="63" spans="1:12" x14ac:dyDescent="0.2">
      <c r="A63" s="373" t="s">
        <v>231</v>
      </c>
      <c r="B63" s="373"/>
      <c r="C63" s="373"/>
      <c r="D63" s="373"/>
      <c r="E63" s="373"/>
      <c r="F63" s="373"/>
      <c r="G63" s="373"/>
      <c r="H63" s="373"/>
      <c r="I63" s="373"/>
      <c r="J63" s="300"/>
      <c r="K63" s="244"/>
      <c r="L63" s="244"/>
    </row>
    <row r="64" spans="1:12" x14ac:dyDescent="0.2">
      <c r="A64" s="300"/>
      <c r="B64" s="300"/>
      <c r="C64" s="300"/>
      <c r="D64" s="300"/>
      <c r="E64" s="300"/>
      <c r="F64" s="300"/>
      <c r="G64" s="300"/>
      <c r="H64" s="300"/>
      <c r="I64" s="300"/>
      <c r="J64" s="300"/>
      <c r="K64" s="244"/>
      <c r="L64" s="244"/>
    </row>
    <row r="65" spans="1:12" x14ac:dyDescent="0.2">
      <c r="A65" s="373" t="s">
        <v>194</v>
      </c>
      <c r="B65" s="373"/>
      <c r="C65" s="373"/>
      <c r="D65" s="373"/>
      <c r="E65" s="373"/>
      <c r="F65" s="373"/>
      <c r="G65" s="373"/>
      <c r="H65" s="373"/>
      <c r="I65" s="373"/>
      <c r="J65" s="244"/>
      <c r="K65" s="244"/>
      <c r="L65" s="244"/>
    </row>
    <row r="66" spans="1:12" x14ac:dyDescent="0.2">
      <c r="A66" s="376" t="s">
        <v>272</v>
      </c>
      <c r="B66" s="373"/>
      <c r="C66" s="373"/>
      <c r="D66" s="373"/>
      <c r="E66" s="373"/>
      <c r="F66" s="373"/>
      <c r="G66" s="373"/>
      <c r="H66" s="373"/>
      <c r="I66" s="373"/>
      <c r="J66" s="244"/>
      <c r="K66" s="244"/>
      <c r="L66" s="244"/>
    </row>
    <row r="67" spans="1:12" x14ac:dyDescent="0.2">
      <c r="A67" s="373" t="s">
        <v>195</v>
      </c>
      <c r="B67" s="373"/>
      <c r="C67" s="373"/>
      <c r="D67" s="373"/>
      <c r="E67" s="373"/>
      <c r="F67" s="373"/>
      <c r="G67" s="373"/>
      <c r="H67" s="373"/>
      <c r="I67" s="373"/>
      <c r="J67" s="244"/>
      <c r="K67" s="244"/>
      <c r="L67" s="244"/>
    </row>
    <row r="68" spans="1:12" x14ac:dyDescent="0.2">
      <c r="A68" s="373" t="s">
        <v>265</v>
      </c>
      <c r="B68" s="373"/>
      <c r="C68" s="373"/>
      <c r="D68" s="373"/>
      <c r="E68" s="373"/>
      <c r="F68" s="373"/>
      <c r="G68" s="373"/>
      <c r="H68" s="373"/>
      <c r="I68" s="373"/>
      <c r="J68" s="244"/>
      <c r="K68" s="244"/>
      <c r="L68" s="244"/>
    </row>
    <row r="69" spans="1:12" x14ac:dyDescent="0.2">
      <c r="A69" s="373" t="s">
        <v>196</v>
      </c>
      <c r="B69" s="373"/>
      <c r="C69" s="373"/>
      <c r="D69" s="373"/>
      <c r="E69" s="373"/>
      <c r="F69" s="373"/>
      <c r="G69" s="373"/>
      <c r="H69" s="373"/>
      <c r="I69" s="373"/>
      <c r="J69" s="244"/>
      <c r="K69" s="244"/>
      <c r="L69" s="244"/>
    </row>
    <row r="70" spans="1:12" x14ac:dyDescent="0.2">
      <c r="A70" s="373" t="s">
        <v>197</v>
      </c>
      <c r="B70" s="373"/>
      <c r="C70" s="373"/>
      <c r="D70" s="373"/>
      <c r="E70" s="373"/>
      <c r="F70" s="373"/>
      <c r="G70" s="373"/>
      <c r="H70" s="373"/>
      <c r="I70" s="373"/>
      <c r="J70" s="244"/>
      <c r="K70" s="244"/>
      <c r="L70" s="244"/>
    </row>
    <row r="71" spans="1:12" x14ac:dyDescent="0.2">
      <c r="A71" s="373" t="s">
        <v>198</v>
      </c>
      <c r="B71" s="373"/>
      <c r="C71" s="373"/>
      <c r="D71" s="373"/>
      <c r="E71" s="373"/>
      <c r="F71" s="373"/>
      <c r="G71" s="373"/>
      <c r="H71" s="373"/>
      <c r="I71" s="373"/>
      <c r="J71" s="244"/>
      <c r="K71" s="244"/>
      <c r="L71" s="244"/>
    </row>
    <row r="72" spans="1:12" x14ac:dyDescent="0.2">
      <c r="A72" s="373" t="s">
        <v>276</v>
      </c>
      <c r="B72" s="373"/>
      <c r="C72" s="373"/>
      <c r="D72" s="373"/>
      <c r="E72" s="373"/>
      <c r="F72" s="373"/>
      <c r="G72" s="373"/>
      <c r="H72" s="373"/>
      <c r="I72" s="373"/>
      <c r="J72" s="244"/>
      <c r="K72" s="244"/>
      <c r="L72" s="244"/>
    </row>
    <row r="73" spans="1:12" x14ac:dyDescent="0.2">
      <c r="A73" s="373" t="s">
        <v>199</v>
      </c>
      <c r="B73" s="373"/>
      <c r="C73" s="373"/>
      <c r="D73" s="373"/>
      <c r="E73" s="373"/>
      <c r="F73" s="373"/>
      <c r="G73" s="373"/>
      <c r="H73" s="373"/>
      <c r="I73" s="373"/>
      <c r="J73" s="244"/>
      <c r="K73" s="244"/>
      <c r="L73" s="244"/>
    </row>
    <row r="74" spans="1:12" x14ac:dyDescent="0.2">
      <c r="A74" s="379" t="s">
        <v>280</v>
      </c>
      <c r="B74" s="373"/>
      <c r="C74" s="373"/>
      <c r="D74" s="373"/>
      <c r="E74" s="373"/>
      <c r="F74" s="373"/>
      <c r="G74" s="373"/>
      <c r="H74" s="373"/>
      <c r="I74" s="373"/>
      <c r="J74" s="244"/>
      <c r="K74" s="244"/>
      <c r="L74" s="244"/>
    </row>
    <row r="75" spans="1:12" x14ac:dyDescent="0.2">
      <c r="A75" s="376" t="s">
        <v>278</v>
      </c>
      <c r="B75" s="373"/>
      <c r="C75" s="373"/>
      <c r="D75" s="373"/>
      <c r="E75" s="373"/>
      <c r="F75" s="373"/>
      <c r="G75" s="373"/>
      <c r="H75" s="373"/>
      <c r="I75" s="373"/>
      <c r="J75" s="244"/>
      <c r="K75" s="244"/>
      <c r="L75" s="244"/>
    </row>
    <row r="76" spans="1:12" x14ac:dyDescent="0.2">
      <c r="A76" s="373" t="s">
        <v>271</v>
      </c>
      <c r="B76" s="373"/>
      <c r="C76" s="373"/>
      <c r="D76" s="373"/>
      <c r="E76" s="373"/>
      <c r="F76" s="373"/>
      <c r="G76" s="373"/>
      <c r="H76" s="373"/>
      <c r="I76" s="373"/>
      <c r="J76" s="244"/>
      <c r="K76" s="244"/>
      <c r="L76" s="244"/>
    </row>
    <row r="77" spans="1:12" x14ac:dyDescent="0.2">
      <c r="A77" s="376" t="s">
        <v>263</v>
      </c>
      <c r="B77" s="373"/>
      <c r="C77" s="373"/>
      <c r="D77" s="373"/>
      <c r="E77" s="373"/>
      <c r="F77" s="373"/>
      <c r="G77" s="373"/>
      <c r="H77" s="373"/>
      <c r="I77" s="373"/>
      <c r="J77" s="244"/>
      <c r="K77" s="244"/>
      <c r="L77" s="244"/>
    </row>
    <row r="78" spans="1:12" x14ac:dyDescent="0.2">
      <c r="A78" s="373" t="s">
        <v>240</v>
      </c>
      <c r="B78" s="373"/>
      <c r="C78" s="373"/>
      <c r="D78" s="373"/>
      <c r="E78" s="373"/>
      <c r="F78" s="373"/>
      <c r="G78" s="373"/>
      <c r="H78" s="373"/>
      <c r="I78" s="373"/>
      <c r="J78" s="244"/>
      <c r="K78" s="244"/>
      <c r="L78" s="244"/>
    </row>
    <row r="79" spans="1:12" x14ac:dyDescent="0.2">
      <c r="A79" s="300" t="s">
        <v>242</v>
      </c>
      <c r="B79" s="300"/>
      <c r="C79" s="300"/>
      <c r="D79" s="300"/>
      <c r="E79" s="300"/>
      <c r="F79" s="300"/>
      <c r="G79" s="300"/>
      <c r="H79" s="300"/>
      <c r="I79" s="300"/>
      <c r="J79" s="244"/>
      <c r="K79" s="244"/>
      <c r="L79" s="244"/>
    </row>
    <row r="80" spans="1:12" x14ac:dyDescent="0.2">
      <c r="A80" s="300" t="s">
        <v>239</v>
      </c>
      <c r="B80" s="300"/>
      <c r="C80" s="300"/>
      <c r="D80" s="300"/>
      <c r="E80" s="300"/>
      <c r="F80" s="300"/>
      <c r="G80" s="300"/>
      <c r="H80" s="300"/>
      <c r="I80" s="300"/>
      <c r="J80" s="244"/>
      <c r="K80" s="244"/>
      <c r="L80" s="244"/>
    </row>
    <row r="81" spans="1:12" x14ac:dyDescent="0.2">
      <c r="A81" s="300" t="s">
        <v>268</v>
      </c>
      <c r="B81" s="300"/>
      <c r="C81" s="300"/>
      <c r="D81" s="300"/>
      <c r="E81" s="300"/>
      <c r="F81" s="300"/>
      <c r="G81" s="300"/>
      <c r="H81" s="300"/>
      <c r="I81" s="300"/>
      <c r="J81" s="244"/>
      <c r="K81" s="244"/>
      <c r="L81" s="244"/>
    </row>
    <row r="82" spans="1:12" x14ac:dyDescent="0.2">
      <c r="A82" s="373" t="s">
        <v>243</v>
      </c>
      <c r="B82" s="373"/>
      <c r="C82" s="373"/>
      <c r="D82" s="373"/>
      <c r="E82" s="373"/>
      <c r="F82" s="373"/>
      <c r="G82" s="373"/>
      <c r="H82" s="373"/>
      <c r="I82" s="373"/>
      <c r="J82" s="244"/>
      <c r="K82" s="244"/>
      <c r="L82" s="244"/>
    </row>
    <row r="83" spans="1:12" x14ac:dyDescent="0.2">
      <c r="A83" s="373" t="s">
        <v>232</v>
      </c>
      <c r="B83" s="373"/>
      <c r="C83" s="373"/>
      <c r="D83" s="373"/>
      <c r="E83" s="373"/>
      <c r="F83" s="373"/>
      <c r="G83" s="373"/>
      <c r="H83" s="373"/>
      <c r="I83" s="373"/>
      <c r="J83" s="244"/>
      <c r="K83" s="244"/>
      <c r="L83" s="244"/>
    </row>
    <row r="84" spans="1:12" x14ac:dyDescent="0.2">
      <c r="A84" s="373" t="s">
        <v>267</v>
      </c>
      <c r="B84" s="373"/>
      <c r="C84" s="373"/>
      <c r="D84" s="373"/>
      <c r="E84" s="373"/>
      <c r="F84" s="373"/>
      <c r="G84" s="373"/>
      <c r="H84" s="373"/>
      <c r="I84" s="373"/>
      <c r="J84" s="244"/>
      <c r="K84" s="244"/>
      <c r="L84" s="244"/>
    </row>
    <row r="85" spans="1:12" x14ac:dyDescent="0.2">
      <c r="A85" s="373" t="s">
        <v>269</v>
      </c>
      <c r="B85" s="373"/>
      <c r="C85" s="373"/>
      <c r="D85" s="373"/>
      <c r="E85" s="373"/>
      <c r="F85" s="373"/>
      <c r="G85" s="373"/>
      <c r="H85" s="373"/>
      <c r="I85" s="373"/>
      <c r="J85" s="244"/>
      <c r="K85" s="244"/>
      <c r="L85" s="244"/>
    </row>
    <row r="86" spans="1:12" x14ac:dyDescent="0.2">
      <c r="A86" s="373" t="s">
        <v>234</v>
      </c>
      <c r="B86" s="373"/>
      <c r="C86" s="373"/>
      <c r="D86" s="373"/>
      <c r="E86" s="373"/>
      <c r="F86" s="373"/>
      <c r="G86" s="373"/>
      <c r="H86" s="373"/>
      <c r="I86" s="373"/>
      <c r="J86" s="244"/>
      <c r="K86" s="244"/>
      <c r="L86" s="244"/>
    </row>
    <row r="87" spans="1:12" x14ac:dyDescent="0.2">
      <c r="A87" s="373" t="s">
        <v>235</v>
      </c>
      <c r="B87" s="373"/>
      <c r="C87" s="373"/>
      <c r="D87" s="373"/>
      <c r="E87" s="373"/>
      <c r="F87" s="373"/>
      <c r="G87" s="373"/>
      <c r="H87" s="373"/>
      <c r="I87" s="373"/>
      <c r="J87" s="244"/>
      <c r="K87" s="244"/>
      <c r="L87" s="244"/>
    </row>
    <row r="88" spans="1:12" x14ac:dyDescent="0.2">
      <c r="A88" s="373" t="s">
        <v>233</v>
      </c>
      <c r="B88" s="373"/>
      <c r="C88" s="373"/>
      <c r="D88" s="373"/>
      <c r="E88" s="373"/>
      <c r="F88" s="373"/>
      <c r="G88" s="373"/>
      <c r="H88" s="373"/>
      <c r="I88" s="373"/>
      <c r="J88" s="244"/>
      <c r="K88" s="244"/>
      <c r="L88" s="244"/>
    </row>
    <row r="89" spans="1:12" x14ac:dyDescent="0.2">
      <c r="A89" s="376" t="s">
        <v>281</v>
      </c>
      <c r="B89" s="373"/>
      <c r="C89" s="373"/>
      <c r="D89" s="373"/>
      <c r="E89" s="373"/>
      <c r="F89" s="373"/>
      <c r="G89" s="373"/>
      <c r="H89" s="373"/>
      <c r="I89" s="373"/>
      <c r="J89" s="244"/>
      <c r="K89" s="244"/>
      <c r="L89" s="244"/>
    </row>
    <row r="90" spans="1:12" x14ac:dyDescent="0.2">
      <c r="A90" s="376" t="s">
        <v>264</v>
      </c>
      <c r="B90" s="373"/>
      <c r="C90" s="373"/>
      <c r="D90" s="373"/>
      <c r="E90" s="373"/>
      <c r="F90" s="373"/>
      <c r="G90" s="373"/>
      <c r="H90" s="373"/>
      <c r="I90" s="373"/>
      <c r="J90" s="244"/>
      <c r="K90" s="244"/>
      <c r="L90" s="244"/>
    </row>
    <row r="91" spans="1:12" x14ac:dyDescent="0.2">
      <c r="A91" s="373" t="s">
        <v>236</v>
      </c>
      <c r="B91" s="373"/>
      <c r="C91" s="373"/>
      <c r="D91" s="373"/>
      <c r="E91" s="373"/>
      <c r="F91" s="373"/>
      <c r="G91" s="373"/>
      <c r="H91" s="373"/>
      <c r="I91" s="373"/>
      <c r="J91" s="244"/>
      <c r="K91" s="244"/>
      <c r="L91" s="244"/>
    </row>
    <row r="92" spans="1:12" x14ac:dyDescent="0.2">
      <c r="A92" s="376" t="s">
        <v>262</v>
      </c>
      <c r="B92" s="373"/>
      <c r="C92" s="373"/>
      <c r="D92" s="373"/>
      <c r="E92" s="373"/>
      <c r="F92" s="373"/>
      <c r="G92" s="373"/>
      <c r="H92" s="373"/>
      <c r="I92" s="373"/>
      <c r="J92" s="244"/>
      <c r="K92" s="244"/>
      <c r="L92" s="244"/>
    </row>
    <row r="93" spans="1:12" x14ac:dyDescent="0.2">
      <c r="A93" s="373" t="s">
        <v>237</v>
      </c>
      <c r="B93" s="373"/>
      <c r="C93" s="373"/>
      <c r="D93" s="373"/>
      <c r="E93" s="373"/>
      <c r="F93" s="373"/>
      <c r="G93" s="373"/>
      <c r="H93" s="373"/>
      <c r="I93" s="373"/>
      <c r="J93" s="244"/>
      <c r="K93" s="244"/>
      <c r="L93" s="244"/>
    </row>
    <row r="94" spans="1:12" x14ac:dyDescent="0.2">
      <c r="A94" s="373" t="s">
        <v>200</v>
      </c>
      <c r="B94" s="373"/>
      <c r="C94" s="373"/>
      <c r="D94" s="373"/>
      <c r="E94" s="373"/>
      <c r="F94" s="373"/>
      <c r="G94" s="373"/>
      <c r="H94" s="373"/>
      <c r="I94" s="373"/>
      <c r="J94" s="244"/>
      <c r="K94" s="244"/>
      <c r="L94" s="244"/>
    </row>
    <row r="95" spans="1:12" x14ac:dyDescent="0.2">
      <c r="A95" s="373" t="s">
        <v>266</v>
      </c>
      <c r="B95" s="373"/>
      <c r="C95" s="373"/>
      <c r="D95" s="373"/>
      <c r="E95" s="373"/>
      <c r="F95" s="373"/>
      <c r="G95" s="373"/>
      <c r="H95" s="373"/>
      <c r="I95" s="373"/>
      <c r="J95" s="244"/>
      <c r="K95" s="244"/>
      <c r="L95" s="244"/>
    </row>
    <row r="96" spans="1:12" x14ac:dyDescent="0.2">
      <c r="A96" s="373" t="s">
        <v>238</v>
      </c>
      <c r="B96" s="373"/>
      <c r="C96" s="373"/>
      <c r="D96" s="373"/>
      <c r="E96" s="373"/>
      <c r="F96" s="373"/>
      <c r="G96" s="373"/>
      <c r="H96" s="373"/>
      <c r="I96" s="373"/>
      <c r="J96" s="244"/>
      <c r="K96" s="244"/>
      <c r="L96" s="244"/>
    </row>
    <row r="97" spans="1:12" x14ac:dyDescent="0.2">
      <c r="A97" s="373" t="s">
        <v>241</v>
      </c>
      <c r="B97" s="373"/>
      <c r="C97" s="373"/>
      <c r="D97" s="373"/>
      <c r="E97" s="373"/>
      <c r="F97" s="373"/>
      <c r="G97" s="373"/>
      <c r="H97" s="373"/>
      <c r="I97" s="373"/>
      <c r="J97" s="244"/>
      <c r="K97" s="244"/>
      <c r="L97" s="244"/>
    </row>
    <row r="98" spans="1:12" x14ac:dyDescent="0.2">
      <c r="A98" s="373"/>
      <c r="B98" s="373"/>
      <c r="C98" s="373"/>
      <c r="D98" s="373"/>
      <c r="E98" s="373"/>
      <c r="F98" s="373"/>
      <c r="G98" s="373"/>
      <c r="H98" s="373"/>
      <c r="I98" s="373"/>
      <c r="J98" s="244"/>
      <c r="K98" s="244"/>
      <c r="L98" s="244"/>
    </row>
    <row r="99" spans="1:12" x14ac:dyDescent="0.2">
      <c r="A99" s="373"/>
      <c r="B99" s="373"/>
      <c r="C99" s="373"/>
      <c r="D99" s="373"/>
      <c r="E99" s="373"/>
      <c r="F99" s="373"/>
      <c r="G99" s="373"/>
      <c r="H99" s="373"/>
      <c r="I99" s="373"/>
      <c r="J99" s="244"/>
      <c r="K99" s="244"/>
      <c r="L99" s="244"/>
    </row>
    <row r="100" spans="1:12" x14ac:dyDescent="0.2">
      <c r="A100" s="373"/>
      <c r="B100" s="373"/>
      <c r="C100" s="373"/>
      <c r="D100" s="373"/>
      <c r="E100" s="373"/>
      <c r="F100" s="373"/>
      <c r="G100" s="373"/>
      <c r="H100" s="373"/>
      <c r="I100" s="373"/>
      <c r="J100" s="244"/>
      <c r="K100" s="244"/>
      <c r="L100" s="244"/>
    </row>
    <row r="101" spans="1:12" x14ac:dyDescent="0.2">
      <c r="A101" s="373"/>
      <c r="B101" s="373"/>
      <c r="C101" s="373"/>
      <c r="D101" s="373"/>
      <c r="E101" s="373"/>
      <c r="F101" s="373"/>
      <c r="G101" s="373"/>
      <c r="H101" s="373"/>
      <c r="I101" s="373"/>
      <c r="J101" s="244"/>
      <c r="K101" s="244"/>
      <c r="L101" s="244"/>
    </row>
    <row r="102" spans="1:12" x14ac:dyDescent="0.2">
      <c r="A102" s="373"/>
      <c r="B102" s="373"/>
      <c r="C102" s="373"/>
      <c r="D102" s="373"/>
      <c r="E102" s="373"/>
      <c r="F102" s="373"/>
      <c r="G102" s="373"/>
      <c r="H102" s="373"/>
      <c r="I102" s="373"/>
      <c r="J102" s="244"/>
      <c r="K102" s="244"/>
      <c r="L102" s="244"/>
    </row>
    <row r="103" spans="1:12" x14ac:dyDescent="0.2">
      <c r="A103" s="373"/>
      <c r="B103" s="373"/>
      <c r="C103" s="373"/>
      <c r="D103" s="373"/>
      <c r="E103" s="373"/>
      <c r="F103" s="373"/>
      <c r="G103" s="373"/>
      <c r="H103" s="373"/>
      <c r="I103" s="373"/>
      <c r="J103" s="244"/>
      <c r="K103" s="244"/>
      <c r="L103" s="244"/>
    </row>
    <row r="104" spans="1:12" x14ac:dyDescent="0.2">
      <c r="A104" s="373"/>
      <c r="B104" s="373"/>
      <c r="C104" s="373"/>
      <c r="D104" s="373"/>
      <c r="E104" s="373"/>
      <c r="F104" s="373"/>
      <c r="G104" s="373"/>
      <c r="H104" s="373"/>
      <c r="I104" s="373"/>
      <c r="J104" s="244"/>
      <c r="K104" s="244"/>
      <c r="L104" s="244"/>
    </row>
    <row r="105" spans="1:12" x14ac:dyDescent="0.2">
      <c r="A105" s="373"/>
      <c r="B105" s="373"/>
      <c r="C105" s="373"/>
      <c r="D105" s="373"/>
      <c r="E105" s="373"/>
      <c r="F105" s="373"/>
      <c r="G105" s="373"/>
      <c r="H105" s="373"/>
      <c r="I105" s="373"/>
      <c r="J105" s="244"/>
      <c r="K105" s="244"/>
      <c r="L105" s="244"/>
    </row>
    <row r="106" spans="1:12" x14ac:dyDescent="0.2">
      <c r="A106" s="373"/>
      <c r="B106" s="373"/>
      <c r="C106" s="373"/>
      <c r="D106" s="373"/>
      <c r="E106" s="373"/>
      <c r="F106" s="373"/>
      <c r="G106" s="373"/>
      <c r="H106" s="373"/>
      <c r="I106" s="373"/>
      <c r="J106" s="244"/>
      <c r="K106" s="244"/>
      <c r="L106" s="244"/>
    </row>
    <row r="107" spans="1:12" x14ac:dyDescent="0.2">
      <c r="A107" s="373"/>
      <c r="B107" s="373"/>
      <c r="C107" s="373"/>
      <c r="D107" s="373"/>
      <c r="E107" s="373"/>
      <c r="F107" s="373"/>
      <c r="G107" s="373"/>
      <c r="H107" s="373"/>
      <c r="I107" s="373"/>
      <c r="J107" s="244"/>
      <c r="K107" s="244"/>
      <c r="L107" s="244"/>
    </row>
    <row r="108" spans="1:12" x14ac:dyDescent="0.2">
      <c r="A108" s="374" t="s">
        <v>282</v>
      </c>
      <c r="B108" s="375"/>
      <c r="C108" s="375"/>
      <c r="D108" s="375"/>
      <c r="E108" s="375"/>
      <c r="F108" s="375"/>
      <c r="G108" s="375"/>
      <c r="H108" s="375"/>
      <c r="I108" s="375"/>
      <c r="J108" s="244"/>
      <c r="K108" s="244"/>
      <c r="L108" s="244"/>
    </row>
    <row r="109" spans="1:12" x14ac:dyDescent="0.2">
      <c r="A109" s="372"/>
      <c r="B109" s="372"/>
      <c r="C109" s="372"/>
      <c r="D109" s="372"/>
      <c r="E109" s="372"/>
      <c r="F109" s="372"/>
      <c r="G109" s="372"/>
      <c r="H109" s="372"/>
      <c r="I109" s="372"/>
    </row>
    <row r="110" spans="1:12" x14ac:dyDescent="0.2">
      <c r="A110" s="372"/>
      <c r="B110" s="372"/>
      <c r="C110" s="372"/>
      <c r="D110" s="372"/>
      <c r="E110" s="372"/>
      <c r="F110" s="372"/>
      <c r="G110" s="372"/>
      <c r="H110" s="372"/>
      <c r="I110" s="372"/>
    </row>
    <row r="111" spans="1:12" x14ac:dyDescent="0.2">
      <c r="A111" s="372"/>
      <c r="B111" s="372"/>
      <c r="C111" s="372"/>
      <c r="D111" s="372"/>
      <c r="E111" s="372"/>
      <c r="F111" s="372"/>
      <c r="G111" s="372"/>
      <c r="H111" s="372"/>
      <c r="I111" s="372"/>
    </row>
    <row r="112" spans="1:12" x14ac:dyDescent="0.2">
      <c r="A112" s="372"/>
      <c r="B112" s="372"/>
      <c r="C112" s="372"/>
      <c r="D112" s="372"/>
      <c r="E112" s="372"/>
      <c r="F112" s="372"/>
      <c r="G112" s="372"/>
      <c r="H112" s="372"/>
      <c r="I112" s="372"/>
    </row>
    <row r="113" spans="1:9" x14ac:dyDescent="0.2">
      <c r="A113" s="372"/>
      <c r="B113" s="372"/>
      <c r="C113" s="372"/>
      <c r="D113" s="372"/>
      <c r="E113" s="372"/>
      <c r="F113" s="372"/>
      <c r="G113" s="372"/>
      <c r="H113" s="372"/>
      <c r="I113" s="372"/>
    </row>
    <row r="114" spans="1:9" x14ac:dyDescent="0.2">
      <c r="A114" s="372"/>
      <c r="B114" s="372"/>
      <c r="C114" s="372"/>
      <c r="D114" s="372"/>
      <c r="E114" s="372"/>
      <c r="F114" s="372"/>
      <c r="G114" s="372"/>
      <c r="H114" s="372"/>
      <c r="I114" s="372"/>
    </row>
    <row r="115" spans="1:9" x14ac:dyDescent="0.2">
      <c r="A115" s="372"/>
      <c r="B115" s="372"/>
      <c r="C115" s="372"/>
      <c r="D115" s="372"/>
      <c r="E115" s="372"/>
      <c r="F115" s="372"/>
      <c r="G115" s="372"/>
      <c r="H115" s="372"/>
      <c r="I115" s="372"/>
    </row>
    <row r="116" spans="1:9" x14ac:dyDescent="0.2">
      <c r="A116" s="372"/>
      <c r="B116" s="372"/>
      <c r="C116" s="372"/>
      <c r="D116" s="372"/>
      <c r="E116" s="372"/>
      <c r="F116" s="372"/>
      <c r="G116" s="372"/>
      <c r="H116" s="372"/>
      <c r="I116" s="372"/>
    </row>
    <row r="117" spans="1:9" x14ac:dyDescent="0.2">
      <c r="A117" s="372"/>
      <c r="B117" s="372"/>
      <c r="C117" s="372"/>
      <c r="D117" s="372"/>
      <c r="E117" s="372"/>
      <c r="F117" s="372"/>
      <c r="G117" s="372"/>
      <c r="H117" s="372"/>
      <c r="I117" s="372"/>
    </row>
    <row r="118" spans="1:9" x14ac:dyDescent="0.2">
      <c r="A118" s="372"/>
      <c r="B118" s="372"/>
      <c r="C118" s="372"/>
      <c r="D118" s="372"/>
      <c r="E118" s="372"/>
      <c r="F118" s="372"/>
      <c r="G118" s="372"/>
      <c r="H118" s="372"/>
      <c r="I118" s="372"/>
    </row>
  </sheetData>
  <mergeCells count="65">
    <mergeCell ref="A82:I82"/>
    <mergeCell ref="A84:I84"/>
    <mergeCell ref="A88:I88"/>
    <mergeCell ref="A67:I67"/>
    <mergeCell ref="A69:I69"/>
    <mergeCell ref="A70:I70"/>
    <mergeCell ref="A68:I68"/>
    <mergeCell ref="A78:I78"/>
    <mergeCell ref="A85:I85"/>
    <mergeCell ref="A87:I87"/>
    <mergeCell ref="A83:I83"/>
    <mergeCell ref="A86:I86"/>
    <mergeCell ref="B1:F1"/>
    <mergeCell ref="B2:F2"/>
    <mergeCell ref="A3:I3"/>
    <mergeCell ref="H1:I1"/>
    <mergeCell ref="A59:I59"/>
    <mergeCell ref="A55:I55"/>
    <mergeCell ref="A56:I56"/>
    <mergeCell ref="A57:I57"/>
    <mergeCell ref="A58:I58"/>
    <mergeCell ref="A60:I60"/>
    <mergeCell ref="G42:H42"/>
    <mergeCell ref="A61:I61"/>
    <mergeCell ref="A62:I62"/>
    <mergeCell ref="A77:I77"/>
    <mergeCell ref="A71:I71"/>
    <mergeCell ref="A72:I72"/>
    <mergeCell ref="A73:I73"/>
    <mergeCell ref="A75:I75"/>
    <mergeCell ref="A74:I74"/>
    <mergeCell ref="A63:I63"/>
    <mergeCell ref="A65:I65"/>
    <mergeCell ref="A66:I66"/>
    <mergeCell ref="A76:I76"/>
    <mergeCell ref="A96:I96"/>
    <mergeCell ref="A94:I94"/>
    <mergeCell ref="A89:I89"/>
    <mergeCell ref="A90:I90"/>
    <mergeCell ref="A91:I91"/>
    <mergeCell ref="A92:I92"/>
    <mergeCell ref="A93:I93"/>
    <mergeCell ref="A95:I95"/>
    <mergeCell ref="A97:I97"/>
    <mergeCell ref="A98:I98"/>
    <mergeCell ref="A99:I99"/>
    <mergeCell ref="A100:I100"/>
    <mergeCell ref="A101:I101"/>
    <mergeCell ref="A102:I102"/>
    <mergeCell ref="A103:I103"/>
    <mergeCell ref="A110:I110"/>
    <mergeCell ref="A111:I111"/>
    <mergeCell ref="A104:I104"/>
    <mergeCell ref="A105:I105"/>
    <mergeCell ref="A106:I106"/>
    <mergeCell ref="A107:I107"/>
    <mergeCell ref="A108:I108"/>
    <mergeCell ref="A109:I109"/>
    <mergeCell ref="A116:I116"/>
    <mergeCell ref="A117:I117"/>
    <mergeCell ref="A118:I118"/>
    <mergeCell ref="A112:I112"/>
    <mergeCell ref="A113:I113"/>
    <mergeCell ref="A114:I114"/>
    <mergeCell ref="A115:I115"/>
  </mergeCells>
  <phoneticPr fontId="0" type="noConversion"/>
  <printOptions horizontalCentered="1" verticalCentered="1" gridLines="1"/>
  <pageMargins left="0.75" right="0.75" top="1" bottom="1" header="0.5" footer="0.5"/>
  <pageSetup scale="59" fitToHeight="2" orientation="landscape" r:id="rId1"/>
  <headerFooter alignWithMargins="0">
    <oddHeader>&amp;C&amp;F&amp;R&amp;A</oddHeader>
    <oddFooter>&amp;LBLM&amp;R&amp;D</oddFooter>
  </headerFooter>
  <rowBreaks count="1" manualBreakCount="1">
    <brk id="5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B12"/>
  <sheetViews>
    <sheetView view="pageBreakPreview" zoomScale="90" zoomScaleNormal="100" workbookViewId="0">
      <selection activeCell="E5" sqref="E5"/>
    </sheetView>
  </sheetViews>
  <sheetFormatPr defaultColWidth="9.140625" defaultRowHeight="12.75" x14ac:dyDescent="0.2"/>
  <cols>
    <col min="1" max="6" width="12.7109375" style="72" customWidth="1"/>
    <col min="7" max="8" width="9.140625" style="72"/>
    <col min="9" max="46" width="12.7109375" style="72" customWidth="1"/>
    <col min="47" max="47" width="9.140625" style="72"/>
    <col min="48" max="48" width="10" style="72" bestFit="1" customWidth="1"/>
    <col min="49" max="49" width="9.42578125" style="72" bestFit="1" customWidth="1"/>
    <col min="50" max="50" width="9.140625" style="72"/>
    <col min="51" max="52" width="9.42578125" style="72" bestFit="1" customWidth="1"/>
    <col min="53" max="53" width="9.140625" style="72"/>
    <col min="54" max="54" width="9.7109375" style="72" bestFit="1" customWidth="1"/>
    <col min="55" max="16384" width="9.140625" style="72"/>
  </cols>
  <sheetData>
    <row r="1" spans="1:54" x14ac:dyDescent="0.2">
      <c r="A1" s="401" t="s">
        <v>258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91"/>
      <c r="O1" s="91"/>
      <c r="P1" s="91"/>
      <c r="Q1" s="395" t="s">
        <v>64</v>
      </c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7"/>
      <c r="AC1" s="398" t="s">
        <v>65</v>
      </c>
      <c r="AD1" s="399"/>
      <c r="AE1" s="399"/>
      <c r="AF1" s="399"/>
      <c r="AG1" s="399"/>
      <c r="AH1" s="399"/>
      <c r="AI1" s="399"/>
      <c r="AJ1" s="399"/>
      <c r="AK1" s="399"/>
      <c r="AL1" s="399"/>
      <c r="AM1" s="399"/>
      <c r="AN1" s="400"/>
      <c r="AO1" s="401" t="s">
        <v>66</v>
      </c>
      <c r="AP1" s="402"/>
      <c r="AQ1" s="402"/>
      <c r="AR1" s="402"/>
      <c r="AS1" s="402"/>
      <c r="AT1" s="402"/>
    </row>
    <row r="2" spans="1:54" ht="13.5" thickBot="1" x14ac:dyDescent="0.25">
      <c r="A2" s="394" t="str">
        <f>'Cost Estimate'!A3:I3</f>
        <v>Enter Project Name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91"/>
      <c r="O2" s="91"/>
      <c r="P2" s="91"/>
      <c r="Q2" s="92"/>
      <c r="R2" s="93"/>
      <c r="S2" s="93"/>
      <c r="T2" s="93"/>
      <c r="U2" s="93"/>
      <c r="V2" s="93"/>
      <c r="W2" s="93"/>
      <c r="X2" s="93"/>
      <c r="Y2" s="93"/>
      <c r="Z2" s="93"/>
      <c r="AA2" s="93"/>
      <c r="AB2" s="94"/>
      <c r="AC2" s="95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7"/>
      <c r="AO2" s="91"/>
      <c r="AP2" s="73"/>
      <c r="AQ2" s="73"/>
      <c r="AR2" s="73"/>
      <c r="AS2" s="73"/>
      <c r="AT2" s="73"/>
    </row>
    <row r="3" spans="1:54" ht="63.75" x14ac:dyDescent="0.2">
      <c r="A3" s="98" t="s">
        <v>164</v>
      </c>
      <c r="B3" s="98" t="s">
        <v>165</v>
      </c>
      <c r="C3" s="98" t="s">
        <v>217</v>
      </c>
      <c r="D3" s="99" t="s">
        <v>69</v>
      </c>
      <c r="E3" s="98" t="s">
        <v>70</v>
      </c>
      <c r="F3" s="99" t="s">
        <v>71</v>
      </c>
      <c r="G3" s="99" t="s">
        <v>72</v>
      </c>
      <c r="H3" s="100" t="s">
        <v>112</v>
      </c>
      <c r="I3" s="101" t="s">
        <v>73</v>
      </c>
      <c r="J3" s="101" t="s">
        <v>74</v>
      </c>
      <c r="K3" s="102" t="s">
        <v>75</v>
      </c>
      <c r="L3" s="102" t="s">
        <v>76</v>
      </c>
      <c r="M3" s="98" t="s">
        <v>77</v>
      </c>
      <c r="N3" s="98" t="s">
        <v>78</v>
      </c>
      <c r="O3" s="100" t="s">
        <v>79</v>
      </c>
      <c r="P3" s="103" t="s">
        <v>80</v>
      </c>
      <c r="Q3" s="104" t="s">
        <v>81</v>
      </c>
      <c r="R3" s="105" t="s">
        <v>82</v>
      </c>
      <c r="S3" s="107" t="s">
        <v>83</v>
      </c>
      <c r="T3" s="105" t="s">
        <v>84</v>
      </c>
      <c r="U3" s="107" t="s">
        <v>85</v>
      </c>
      <c r="V3" s="107" t="s">
        <v>86</v>
      </c>
      <c r="W3" s="107" t="s">
        <v>87</v>
      </c>
      <c r="X3" s="107" t="s">
        <v>88</v>
      </c>
      <c r="Y3" s="107" t="s">
        <v>89</v>
      </c>
      <c r="Z3" s="108" t="s">
        <v>90</v>
      </c>
      <c r="AA3" s="108" t="s">
        <v>91</v>
      </c>
      <c r="AB3" s="109" t="s">
        <v>92</v>
      </c>
      <c r="AC3" s="104" t="s">
        <v>93</v>
      </c>
      <c r="AD3" s="105" t="s">
        <v>94</v>
      </c>
      <c r="AE3" s="107" t="s">
        <v>95</v>
      </c>
      <c r="AF3" s="105" t="s">
        <v>96</v>
      </c>
      <c r="AG3" s="107" t="s">
        <v>97</v>
      </c>
      <c r="AH3" s="107" t="s">
        <v>98</v>
      </c>
      <c r="AI3" s="107" t="s">
        <v>99</v>
      </c>
      <c r="AJ3" s="107" t="s">
        <v>100</v>
      </c>
      <c r="AK3" s="107" t="s">
        <v>101</v>
      </c>
      <c r="AL3" s="108" t="s">
        <v>90</v>
      </c>
      <c r="AM3" s="108" t="s">
        <v>91</v>
      </c>
      <c r="AN3" s="109" t="s">
        <v>92</v>
      </c>
      <c r="AO3" s="102" t="s">
        <v>102</v>
      </c>
      <c r="AP3" s="102" t="s">
        <v>103</v>
      </c>
      <c r="AQ3" s="110" t="s">
        <v>104</v>
      </c>
      <c r="AR3" s="110" t="s">
        <v>105</v>
      </c>
      <c r="AS3" s="110" t="s">
        <v>106</v>
      </c>
      <c r="AT3" s="102" t="s">
        <v>107</v>
      </c>
      <c r="AV3" s="111" t="s">
        <v>114</v>
      </c>
      <c r="AW3" s="112" t="s">
        <v>116</v>
      </c>
      <c r="AY3" s="111" t="s">
        <v>115</v>
      </c>
      <c r="AZ3" s="112" t="s">
        <v>151</v>
      </c>
      <c r="BB3" s="113" t="s">
        <v>152</v>
      </c>
    </row>
    <row r="4" spans="1:54" x14ac:dyDescent="0.2">
      <c r="A4" s="348" t="s">
        <v>9</v>
      </c>
      <c r="B4" s="88">
        <v>14</v>
      </c>
      <c r="C4" s="237">
        <f>'Cost Estimate'!B6</f>
        <v>0</v>
      </c>
      <c r="D4" s="347">
        <v>0.2</v>
      </c>
      <c r="E4" s="89">
        <v>35.4</v>
      </c>
      <c r="F4" s="90">
        <v>60</v>
      </c>
      <c r="G4" s="115">
        <f>ATAN(D4)</f>
        <v>0.19739555984988078</v>
      </c>
      <c r="H4" s="116"/>
      <c r="I4" s="117">
        <f>DEGREES(G4)</f>
        <v>11.309932474020215</v>
      </c>
      <c r="J4" s="118">
        <f>(B4*C4)/43560</f>
        <v>0</v>
      </c>
      <c r="K4" s="118">
        <f>AP4</f>
        <v>17.655341808984495</v>
      </c>
      <c r="L4" s="118">
        <f>AO4</f>
        <v>18.004986480632496</v>
      </c>
      <c r="M4" s="118">
        <f>(AP4*C4)/43560</f>
        <v>0</v>
      </c>
      <c r="N4" s="118">
        <f>(AO4*C4)/43560</f>
        <v>0</v>
      </c>
      <c r="O4" s="118">
        <f>(((Z4*Z4)*X4*Y4)/(2*V4))/27</f>
        <v>0.25255828874872832</v>
      </c>
      <c r="P4" s="119">
        <f>IF(O4*C4&gt;0,O4*C4*H4,0)</f>
        <v>0</v>
      </c>
      <c r="Q4" s="120">
        <f>RADIANS(I4)</f>
        <v>0.19739555984988078</v>
      </c>
      <c r="R4" s="121">
        <f>E4-I4</f>
        <v>24.090067525979784</v>
      </c>
      <c r="S4" s="122">
        <f>RADIANS(R4)</f>
        <v>0.42045099535611186</v>
      </c>
      <c r="T4" s="121">
        <f>180-E4</f>
        <v>144.6</v>
      </c>
      <c r="U4" s="122">
        <f>RADIANS(T4)</f>
        <v>2.5237460983838003</v>
      </c>
      <c r="V4" s="122">
        <f>SIN(S4)</f>
        <v>0.40817221044882113</v>
      </c>
      <c r="W4" s="122">
        <f>COS(S4)</f>
        <v>0.9129049493881185</v>
      </c>
      <c r="X4" s="122">
        <f>SIN(Q4)</f>
        <v>0.19611613513818404</v>
      </c>
      <c r="Y4" s="122">
        <f>SIN(U4)</f>
        <v>0.57928117234267906</v>
      </c>
      <c r="Z4" s="123">
        <f>B4/2</f>
        <v>7</v>
      </c>
      <c r="AA4" s="123">
        <f>(Z4*X4)/V4</f>
        <v>3.3633180084890149</v>
      </c>
      <c r="AB4" s="124">
        <f>(Z4*Y4)/V4</f>
        <v>9.9344543861522592</v>
      </c>
      <c r="AC4" s="120">
        <f>Q4</f>
        <v>0.19739555984988078</v>
      </c>
      <c r="AD4" s="121">
        <f>F4-I4</f>
        <v>48.690067525979785</v>
      </c>
      <c r="AE4" s="122">
        <f>RADIANS(AD4)</f>
        <v>0.84980199134671697</v>
      </c>
      <c r="AF4" s="121">
        <f>180-F4</f>
        <v>120</v>
      </c>
      <c r="AG4" s="122">
        <f>RADIANS(AF4)</f>
        <v>2.0943951023931953</v>
      </c>
      <c r="AH4" s="122">
        <f>SIN(AE4)</f>
        <v>0.75114970803935477</v>
      </c>
      <c r="AI4" s="122">
        <f>COS(AC4)</f>
        <v>0.98058067569092011</v>
      </c>
      <c r="AJ4" s="122">
        <f>SIN(AC4)</f>
        <v>0.19611613513818404</v>
      </c>
      <c r="AK4" s="122">
        <f>SIN(AG4)</f>
        <v>0.86602540378443871</v>
      </c>
      <c r="AL4" s="123">
        <f>B4/2</f>
        <v>7</v>
      </c>
      <c r="AM4" s="123">
        <f>(AL4*AJ4)/AH4</f>
        <v>1.8276156287813705</v>
      </c>
      <c r="AN4" s="124">
        <f>(AL4*AK4)/AH4</f>
        <v>8.0705320944802352</v>
      </c>
      <c r="AO4" s="118">
        <f>AN4+AB4</f>
        <v>18.004986480632496</v>
      </c>
      <c r="AP4" s="118">
        <f>AO4*AI4</f>
        <v>17.655341808984495</v>
      </c>
      <c r="AQ4" s="125">
        <f>(AO4*C4)/43560</f>
        <v>0</v>
      </c>
      <c r="AR4" s="125">
        <f>(AP4*C4)/43560</f>
        <v>0</v>
      </c>
      <c r="AS4" s="125">
        <f>(((Z4*Z4)*X4*Y4)/(2*V4))/27</f>
        <v>0.25255828874872832</v>
      </c>
      <c r="AT4" s="118">
        <f>AS4*C4</f>
        <v>0</v>
      </c>
      <c r="AV4" s="126">
        <f>IF(D4&lt;0.3,C4,0)</f>
        <v>0</v>
      </c>
      <c r="AW4" s="127">
        <f>IF(AV4&gt;0,P4,0)</f>
        <v>0</v>
      </c>
      <c r="AX4" s="78"/>
      <c r="AY4" s="126">
        <f>IF(D4&gt;0.29,C4,0)</f>
        <v>0</v>
      </c>
      <c r="AZ4" s="127">
        <f>IF(AY4&gt;0,P4,0)</f>
        <v>0</v>
      </c>
      <c r="BB4" s="128">
        <f>IF(AT4&gt;1,1,0)</f>
        <v>0</v>
      </c>
    </row>
    <row r="5" spans="1:54" x14ac:dyDescent="0.2">
      <c r="A5" s="348" t="s">
        <v>11</v>
      </c>
      <c r="B5" s="88">
        <f>B$4</f>
        <v>14</v>
      </c>
      <c r="C5" s="237">
        <f>'Cost Estimate'!B7</f>
        <v>0</v>
      </c>
      <c r="D5" s="347">
        <v>0.4</v>
      </c>
      <c r="E5" s="89">
        <v>35.4</v>
      </c>
      <c r="F5" s="90">
        <v>60</v>
      </c>
      <c r="G5" s="115">
        <f>ATAN(D5)</f>
        <v>0.3805063771123649</v>
      </c>
      <c r="H5" s="349">
        <v>1.2</v>
      </c>
      <c r="I5" s="117">
        <f>DEGREES(G5)</f>
        <v>21.801409486351812</v>
      </c>
      <c r="J5" s="118">
        <f>(B5*C5)/43560</f>
        <v>0</v>
      </c>
      <c r="K5" s="118">
        <f>AP5</f>
        <v>25.115003563665123</v>
      </c>
      <c r="L5" s="118">
        <f>AO5</f>
        <v>27.049686664421415</v>
      </c>
      <c r="M5" s="118">
        <f>(AP5*C5)/43560</f>
        <v>0</v>
      </c>
      <c r="N5" s="118">
        <f>(AO5*C5)/43560</f>
        <v>0</v>
      </c>
      <c r="O5" s="118">
        <f>(((Z5*Z5)*X5*Y5)/(2*V5))/27</f>
        <v>0.83030275174051282</v>
      </c>
      <c r="P5" s="119">
        <f>IF(O5*C5&gt;0,O5*C5*H5,0)</f>
        <v>0</v>
      </c>
      <c r="Q5" s="120">
        <f>RADIANS(I5)</f>
        <v>0.3805063771123649</v>
      </c>
      <c r="R5" s="121">
        <f>E5-I5</f>
        <v>13.598590513648187</v>
      </c>
      <c r="S5" s="122">
        <f>RADIANS(R5)</f>
        <v>0.23734017809362776</v>
      </c>
      <c r="T5" s="121">
        <f>180-E5</f>
        <v>144.6</v>
      </c>
      <c r="U5" s="122">
        <f>RADIANS(T5)</f>
        <v>2.5237460983838003</v>
      </c>
      <c r="V5" s="122">
        <f>SIN(S5)</f>
        <v>0.23511820261820657</v>
      </c>
      <c r="W5" s="122">
        <f>COS(S5)</f>
        <v>0.97196678482218923</v>
      </c>
      <c r="X5" s="122">
        <f>SIN(Q5)</f>
        <v>0.37139067635410372</v>
      </c>
      <c r="Y5" s="122">
        <f>SIN(U5)</f>
        <v>0.57928117234267906</v>
      </c>
      <c r="Z5" s="123">
        <f>B5/2</f>
        <v>7</v>
      </c>
      <c r="AA5" s="123">
        <f>(Z5*X5)/V5</f>
        <v>11.057139368746661</v>
      </c>
      <c r="AB5" s="124">
        <f>(Z5*Y5)/V5</f>
        <v>17.246509037768366</v>
      </c>
      <c r="AC5" s="120">
        <f>Q5</f>
        <v>0.3805063771123649</v>
      </c>
      <c r="AD5" s="121">
        <f>F5-I5</f>
        <v>38.198590513648185</v>
      </c>
      <c r="AE5" s="122">
        <f>RADIANS(AD5)</f>
        <v>0.66669117408423284</v>
      </c>
      <c r="AF5" s="121">
        <f>180-F5</f>
        <v>120</v>
      </c>
      <c r="AG5" s="122">
        <f>RADIANS(AF5)</f>
        <v>2.0943951023931953</v>
      </c>
      <c r="AH5" s="122">
        <f>SIN(AE5)</f>
        <v>0.61838906295129425</v>
      </c>
      <c r="AI5" s="122">
        <f>COS(AC5)</f>
        <v>0.9284766908852593</v>
      </c>
      <c r="AJ5" s="122">
        <f>SIN(AC5)</f>
        <v>0.37139067635410372</v>
      </c>
      <c r="AK5" s="122">
        <f>SIN(AG5)</f>
        <v>0.86602540378443871</v>
      </c>
      <c r="AL5" s="123">
        <f>B5/2</f>
        <v>7</v>
      </c>
      <c r="AM5" s="123">
        <f>(AL5*AJ5)/AH5</f>
        <v>4.2040438459104621</v>
      </c>
      <c r="AN5" s="124">
        <f>(AL5*AK5)/AH5</f>
        <v>9.8031776266530475</v>
      </c>
      <c r="AO5" s="118">
        <f>AN5+AB5</f>
        <v>27.049686664421415</v>
      </c>
      <c r="AP5" s="118">
        <f>AO5*AI5</f>
        <v>25.115003563665123</v>
      </c>
      <c r="AQ5" s="125">
        <f>(AO5*C5)/43560</f>
        <v>0</v>
      </c>
      <c r="AR5" s="125">
        <f>(AP5*C5)/43560</f>
        <v>0</v>
      </c>
      <c r="AS5" s="125">
        <f>(((Z5*Z5)*X5*Y5)/(2*V5))/27</f>
        <v>0.83030275174051282</v>
      </c>
      <c r="AT5" s="118">
        <f>AS5*C5</f>
        <v>0</v>
      </c>
      <c r="AV5" s="126">
        <f>IF(D5&lt;0.3,C5,0)</f>
        <v>0</v>
      </c>
      <c r="AW5" s="127">
        <f>IF(AV5&gt;0,P5,0)</f>
        <v>0</v>
      </c>
      <c r="AX5" s="78"/>
      <c r="AY5" s="126">
        <f>IF(D5&gt;0.29,C5,0)</f>
        <v>0</v>
      </c>
      <c r="AZ5" s="127">
        <f>IF(AY5&gt;0,P5,0)</f>
        <v>0</v>
      </c>
      <c r="BB5" s="128">
        <f>IF(AT5&gt;1,1,0)</f>
        <v>0</v>
      </c>
    </row>
    <row r="6" spans="1:54" x14ac:dyDescent="0.2">
      <c r="A6" s="132"/>
      <c r="B6" s="132"/>
      <c r="C6" s="132"/>
      <c r="D6" s="133"/>
      <c r="E6" s="133"/>
      <c r="F6" s="133"/>
      <c r="G6" s="133"/>
      <c r="H6" s="133"/>
      <c r="I6" s="134"/>
      <c r="J6" s="135"/>
      <c r="K6" s="135"/>
      <c r="L6" s="135"/>
      <c r="M6" s="136"/>
      <c r="N6" s="136"/>
      <c r="O6" s="137"/>
      <c r="P6" s="138"/>
      <c r="Q6" s="139"/>
      <c r="R6" s="140"/>
      <c r="S6" s="141"/>
      <c r="T6" s="140"/>
      <c r="U6" s="141"/>
      <c r="V6" s="141"/>
      <c r="W6" s="141"/>
      <c r="X6" s="141"/>
      <c r="Y6" s="141"/>
      <c r="Z6" s="142"/>
      <c r="AA6" s="142"/>
      <c r="AB6" s="143"/>
      <c r="AC6" s="144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5"/>
      <c r="AO6" s="146"/>
      <c r="AP6" s="147"/>
      <c r="AQ6" s="148"/>
      <c r="AR6" s="148"/>
      <c r="AS6" s="148"/>
      <c r="AT6" s="147"/>
      <c r="AV6" s="149"/>
      <c r="AW6" s="150"/>
      <c r="AY6" s="149"/>
      <c r="AZ6" s="150"/>
      <c r="BB6" s="128"/>
    </row>
    <row r="7" spans="1:54" x14ac:dyDescent="0.2">
      <c r="A7" s="73" t="s">
        <v>63</v>
      </c>
      <c r="B7" s="73"/>
      <c r="C7" s="229">
        <f>SUM(C4:C6)</f>
        <v>0</v>
      </c>
      <c r="D7" s="151"/>
      <c r="E7" s="151"/>
      <c r="F7" s="151"/>
      <c r="G7" s="151"/>
      <c r="H7" s="151"/>
      <c r="I7" s="151"/>
      <c r="J7" s="131"/>
      <c r="K7" s="152"/>
      <c r="L7" s="152"/>
      <c r="M7" s="230">
        <f>SUM(M4:M6)</f>
        <v>0</v>
      </c>
      <c r="N7" s="119">
        <f>SUM(N4:N6)</f>
        <v>0</v>
      </c>
      <c r="O7" s="125"/>
      <c r="P7" s="130">
        <f>SUM(P4:P6)</f>
        <v>0</v>
      </c>
      <c r="Q7" s="153"/>
      <c r="R7" s="136"/>
      <c r="S7" s="137"/>
      <c r="T7" s="136"/>
      <c r="U7" s="137"/>
      <c r="V7" s="137"/>
      <c r="W7" s="137"/>
      <c r="X7" s="137"/>
      <c r="Y7" s="137"/>
      <c r="Z7" s="134"/>
      <c r="AA7" s="134"/>
      <c r="AB7" s="154"/>
      <c r="AC7" s="155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56"/>
      <c r="AO7" s="136"/>
      <c r="AP7" s="135"/>
      <c r="AQ7" s="137"/>
      <c r="AR7" s="137"/>
      <c r="AS7" s="137"/>
      <c r="AT7" s="135"/>
      <c r="AV7" s="157"/>
      <c r="AW7" s="158"/>
      <c r="AX7" s="159"/>
      <c r="AY7" s="157"/>
      <c r="AZ7" s="158"/>
      <c r="BB7" s="160"/>
    </row>
    <row r="8" spans="1:54" ht="13.5" thickBot="1" x14ac:dyDescent="0.25">
      <c r="A8" s="146"/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V8" s="161">
        <f>SUM(AV4:AV7)</f>
        <v>0</v>
      </c>
      <c r="AW8" s="162">
        <f>SUM(AW4:AW7)</f>
        <v>0</v>
      </c>
      <c r="AX8" s="78"/>
      <c r="AY8" s="161">
        <f>SUM(AY4:AY7)</f>
        <v>0</v>
      </c>
      <c r="AZ8" s="162">
        <f>SUM(AZ4:AZ7)</f>
        <v>0</v>
      </c>
      <c r="BB8" s="163">
        <f>SUM(BB4:BB7)</f>
        <v>0</v>
      </c>
    </row>
    <row r="9" spans="1:54" x14ac:dyDescent="0.2">
      <c r="A9" s="72" t="s">
        <v>166</v>
      </c>
      <c r="AZ9" s="164"/>
    </row>
    <row r="10" spans="1:54" x14ac:dyDescent="0.2">
      <c r="A10" s="165" t="s">
        <v>167</v>
      </c>
      <c r="AZ10" s="164"/>
    </row>
    <row r="11" spans="1:54" x14ac:dyDescent="0.2">
      <c r="A11" s="166" t="s">
        <v>168</v>
      </c>
      <c r="AZ11" s="164"/>
    </row>
    <row r="12" spans="1:54" x14ac:dyDescent="0.2">
      <c r="A12" s="78" t="s">
        <v>169</v>
      </c>
    </row>
  </sheetData>
  <sheetProtection password="DD80" sheet="1" objects="1" scenarios="1"/>
  <mergeCells count="5">
    <mergeCell ref="A2:M2"/>
    <mergeCell ref="Q1:AB1"/>
    <mergeCell ref="AC1:AN1"/>
    <mergeCell ref="AO1:AT1"/>
    <mergeCell ref="A1:M1"/>
  </mergeCells>
  <phoneticPr fontId="17" type="noConversion"/>
  <printOptions horizontalCentered="1" verticalCentered="1" gridLines="1"/>
  <pageMargins left="0.5" right="0.5" top="1" bottom="1" header="0.5" footer="0.5"/>
  <pageSetup scale="60" fitToWidth="4" orientation="landscape" r:id="rId1"/>
  <headerFooter alignWithMargins="0">
    <oddHeader>&amp;C&amp;Z&amp;F&amp;R&amp;A</oddHeader>
    <oddFooter>&amp;LBLM Elko, Bergwall&amp;C&amp;P of &amp;N&amp;R&amp;D</oddFooter>
  </headerFooter>
  <colBreaks count="3" manualBreakCount="3">
    <brk id="16" max="1048575" man="1"/>
    <brk id="28" max="1048575" man="1"/>
    <brk id="4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E12"/>
  <sheetViews>
    <sheetView view="pageBreakPreview" zoomScale="90" zoomScaleNormal="100" workbookViewId="0">
      <selection activeCell="E5" sqref="E5"/>
    </sheetView>
  </sheetViews>
  <sheetFormatPr defaultRowHeight="12.75" x14ac:dyDescent="0.2"/>
  <cols>
    <col min="1" max="1" width="13.85546875" customWidth="1"/>
    <col min="2" max="2" width="10.28515625" customWidth="1"/>
    <col min="3" max="3" width="10.85546875" customWidth="1"/>
    <col min="4" max="4" width="10.42578125" customWidth="1"/>
    <col min="5" max="5" width="9.7109375" customWidth="1"/>
    <col min="7" max="7" width="12" customWidth="1"/>
    <col min="8" max="9" width="12.7109375" customWidth="1"/>
    <col min="10" max="10" width="10.140625" customWidth="1"/>
    <col min="11" max="45" width="12.7109375" customWidth="1"/>
    <col min="49" max="49" width="12" customWidth="1"/>
    <col min="50" max="50" width="12.7109375" customWidth="1"/>
    <col min="51" max="51" width="9.140625" style="182"/>
    <col min="52" max="52" width="12.42578125" style="182" customWidth="1"/>
    <col min="53" max="53" width="13.5703125" style="182" bestFit="1" customWidth="1"/>
    <col min="54" max="57" width="9.140625" style="182"/>
  </cols>
  <sheetData>
    <row r="1" spans="1:57" ht="29.25" customHeight="1" x14ac:dyDescent="0.2">
      <c r="A1" s="406" t="s">
        <v>256</v>
      </c>
      <c r="B1" s="406"/>
      <c r="C1" s="406"/>
      <c r="D1" s="406"/>
      <c r="E1" s="406"/>
      <c r="F1" s="406"/>
      <c r="G1" s="406"/>
      <c r="H1" s="406"/>
      <c r="I1" s="406"/>
      <c r="J1" s="406"/>
      <c r="K1" s="10"/>
      <c r="L1" s="10"/>
      <c r="M1" s="10"/>
      <c r="N1" s="10"/>
      <c r="O1" s="10"/>
      <c r="P1" s="407" t="s">
        <v>64</v>
      </c>
      <c r="Q1" s="408"/>
      <c r="R1" s="408"/>
      <c r="S1" s="408"/>
      <c r="T1" s="408"/>
      <c r="U1" s="408"/>
      <c r="V1" s="408"/>
      <c r="W1" s="408"/>
      <c r="X1" s="408"/>
      <c r="Y1" s="408"/>
      <c r="Z1" s="408"/>
      <c r="AA1" s="409"/>
      <c r="AB1" s="410" t="s">
        <v>65</v>
      </c>
      <c r="AC1" s="411"/>
      <c r="AD1" s="411"/>
      <c r="AE1" s="411"/>
      <c r="AF1" s="411"/>
      <c r="AG1" s="411"/>
      <c r="AH1" s="411"/>
      <c r="AI1" s="411"/>
      <c r="AJ1" s="411"/>
      <c r="AK1" s="411"/>
      <c r="AL1" s="411"/>
      <c r="AM1" s="412"/>
      <c r="AN1" s="403" t="s">
        <v>66</v>
      </c>
      <c r="AO1" s="404"/>
      <c r="AP1" s="404"/>
      <c r="AQ1" s="404"/>
      <c r="AR1" s="404"/>
      <c r="AS1" s="404"/>
    </row>
    <row r="2" spans="1:57" ht="33" customHeight="1" x14ac:dyDescent="0.2">
      <c r="A2" s="405" t="str">
        <f>'Cost Estimate'!A3:I3</f>
        <v>Enter Project Name</v>
      </c>
      <c r="B2" s="405"/>
      <c r="C2" s="405"/>
      <c r="D2" s="405"/>
      <c r="E2" s="405"/>
      <c r="F2" s="405"/>
      <c r="G2" s="405"/>
      <c r="H2" s="405"/>
      <c r="I2" s="405"/>
      <c r="J2" s="405"/>
      <c r="K2" s="10"/>
      <c r="L2" s="10"/>
      <c r="M2" s="10"/>
      <c r="N2" s="10"/>
      <c r="O2" s="10"/>
      <c r="P2" s="11"/>
      <c r="Q2" s="12"/>
      <c r="R2" s="12"/>
      <c r="S2" s="12"/>
      <c r="T2" s="12"/>
      <c r="U2" s="12"/>
      <c r="V2" s="12"/>
      <c r="W2" s="12"/>
      <c r="X2" s="12"/>
      <c r="Y2" s="12"/>
      <c r="Z2" s="12"/>
      <c r="AA2" s="13"/>
      <c r="AB2" s="14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6"/>
      <c r="AN2" s="10"/>
      <c r="AO2" s="2"/>
      <c r="AP2" s="2"/>
      <c r="AQ2" s="2"/>
      <c r="AR2" s="2"/>
      <c r="AS2" s="2"/>
    </row>
    <row r="3" spans="1:57" ht="76.5" x14ac:dyDescent="0.2">
      <c r="A3" s="17" t="s">
        <v>257</v>
      </c>
      <c r="B3" s="17" t="s">
        <v>67</v>
      </c>
      <c r="C3" s="17" t="s">
        <v>68</v>
      </c>
      <c r="D3" s="17" t="s">
        <v>170</v>
      </c>
      <c r="E3" s="18" t="s">
        <v>69</v>
      </c>
      <c r="F3" s="17" t="s">
        <v>70</v>
      </c>
      <c r="G3" s="18" t="s">
        <v>174</v>
      </c>
      <c r="H3" s="18" t="s">
        <v>72</v>
      </c>
      <c r="I3" s="18" t="s">
        <v>112</v>
      </c>
      <c r="J3" s="19" t="s">
        <v>73</v>
      </c>
      <c r="K3" s="19" t="s">
        <v>173</v>
      </c>
      <c r="L3" s="20" t="s">
        <v>75</v>
      </c>
      <c r="M3" s="20" t="s">
        <v>76</v>
      </c>
      <c r="N3" s="17" t="s">
        <v>77</v>
      </c>
      <c r="O3" s="17" t="s">
        <v>78</v>
      </c>
      <c r="P3" s="21" t="s">
        <v>79</v>
      </c>
      <c r="Q3" s="22" t="s">
        <v>80</v>
      </c>
      <c r="R3" s="23" t="s">
        <v>81</v>
      </c>
      <c r="S3" s="24" t="s">
        <v>82</v>
      </c>
      <c r="T3" s="25" t="s">
        <v>83</v>
      </c>
      <c r="U3" s="24" t="s">
        <v>84</v>
      </c>
      <c r="V3" s="25" t="s">
        <v>85</v>
      </c>
      <c r="W3" s="25" t="s">
        <v>86</v>
      </c>
      <c r="X3" s="25" t="s">
        <v>87</v>
      </c>
      <c r="Y3" s="25" t="s">
        <v>88</v>
      </c>
      <c r="Z3" s="25" t="s">
        <v>89</v>
      </c>
      <c r="AA3" s="26" t="s">
        <v>90</v>
      </c>
      <c r="AB3" s="26" t="s">
        <v>91</v>
      </c>
      <c r="AC3" s="27" t="s">
        <v>92</v>
      </c>
      <c r="AD3" s="23" t="s">
        <v>93</v>
      </c>
      <c r="AE3" s="24" t="s">
        <v>94</v>
      </c>
      <c r="AF3" s="25" t="s">
        <v>95</v>
      </c>
      <c r="AG3" s="24" t="s">
        <v>96</v>
      </c>
      <c r="AH3" s="25" t="s">
        <v>97</v>
      </c>
      <c r="AI3" s="25" t="s">
        <v>98</v>
      </c>
      <c r="AJ3" s="25" t="s">
        <v>99</v>
      </c>
      <c r="AK3" s="25" t="s">
        <v>100</v>
      </c>
      <c r="AL3" s="25" t="s">
        <v>101</v>
      </c>
      <c r="AM3" s="26" t="s">
        <v>90</v>
      </c>
      <c r="AN3" s="26" t="s">
        <v>91</v>
      </c>
      <c r="AO3" s="27" t="s">
        <v>92</v>
      </c>
      <c r="AP3" s="20" t="s">
        <v>171</v>
      </c>
      <c r="AQ3" s="20" t="s">
        <v>172</v>
      </c>
      <c r="AR3" s="28" t="s">
        <v>104</v>
      </c>
      <c r="AS3" s="28" t="s">
        <v>105</v>
      </c>
      <c r="AT3" s="28" t="s">
        <v>106</v>
      </c>
      <c r="AU3" s="20" t="s">
        <v>107</v>
      </c>
      <c r="AY3" s="28"/>
      <c r="AZ3" s="28"/>
      <c r="BB3" s="28"/>
      <c r="BC3" s="28"/>
      <c r="BE3" s="28"/>
    </row>
    <row r="4" spans="1:57" x14ac:dyDescent="0.2">
      <c r="A4" s="343" t="s">
        <v>9</v>
      </c>
      <c r="B4" s="346">
        <v>30</v>
      </c>
      <c r="C4" s="346">
        <v>70</v>
      </c>
      <c r="D4" s="222">
        <f>'Cost Estimate'!B10</f>
        <v>0</v>
      </c>
      <c r="E4" s="347">
        <v>0.2</v>
      </c>
      <c r="F4" s="167" t="s">
        <v>135</v>
      </c>
      <c r="G4" s="168">
        <v>60</v>
      </c>
      <c r="H4" s="64">
        <f>ATAN(E4)</f>
        <v>0.19739555984988078</v>
      </c>
      <c r="I4" s="169">
        <v>1.2</v>
      </c>
      <c r="J4" s="29">
        <f>DEGREES(H4)</f>
        <v>11.309932474020215</v>
      </c>
      <c r="K4" s="30">
        <f>(B4*C4*D4)/43560</f>
        <v>0</v>
      </c>
      <c r="L4" s="30">
        <f>AQ4</f>
        <v>37.955670177050933</v>
      </c>
      <c r="M4" s="30">
        <f>AP4</f>
        <v>38.707340576854889</v>
      </c>
      <c r="N4" s="30">
        <f>(AQ4*C4*D4)/43560</f>
        <v>0</v>
      </c>
      <c r="O4" s="30">
        <f>(AP4*C4*D4)/43560</f>
        <v>0</v>
      </c>
      <c r="P4" s="30">
        <f>(((AA4*AA4)*Y4*Z4)/(2*W4))/27</f>
        <v>1.1665283652658438</v>
      </c>
      <c r="Q4" s="31">
        <f>IF(P4*C4&gt;0,P4*C4,0)</f>
        <v>81.656985568609059</v>
      </c>
      <c r="R4" s="32">
        <f>RADIANS(J4)</f>
        <v>0.19739555984988078</v>
      </c>
      <c r="S4" s="33">
        <f>F4-J4</f>
        <v>23.690067525979785</v>
      </c>
      <c r="T4" s="34">
        <f>RADIANS(S4)</f>
        <v>0.41346967834813453</v>
      </c>
      <c r="U4" s="33">
        <f>180-F4</f>
        <v>145</v>
      </c>
      <c r="V4" s="34">
        <f>RADIANS(U4)</f>
        <v>2.530727415391778</v>
      </c>
      <c r="W4" s="34">
        <f>SIN(T4)</f>
        <v>0.40178903650099917</v>
      </c>
      <c r="X4" s="34">
        <f>COS(T4)</f>
        <v>0.91573225898599797</v>
      </c>
      <c r="Y4" s="34">
        <f>SIN(R4)</f>
        <v>0.19611613513818404</v>
      </c>
      <c r="Z4" s="34">
        <f>SIN(V4)</f>
        <v>0.57357643635104594</v>
      </c>
      <c r="AA4" s="35">
        <f>B4/2</f>
        <v>15</v>
      </c>
      <c r="AB4" s="35">
        <f>(AA4*Y4)/W4</f>
        <v>7.3216085055258722</v>
      </c>
      <c r="AC4" s="36">
        <f>(AA4*Z4)/W4</f>
        <v>21.413343231540104</v>
      </c>
      <c r="AD4" s="32">
        <f>R4</f>
        <v>0.19739555984988078</v>
      </c>
      <c r="AE4" s="33">
        <f>G4-J4</f>
        <v>48.690067525979785</v>
      </c>
      <c r="AF4" s="34">
        <f>RADIANS(AE4)</f>
        <v>0.84980199134671697</v>
      </c>
      <c r="AG4" s="33">
        <f>180-G4</f>
        <v>120</v>
      </c>
      <c r="AH4" s="34">
        <f>RADIANS(AG4)</f>
        <v>2.0943951023931953</v>
      </c>
      <c r="AI4" s="34">
        <f>SIN(AF4)</f>
        <v>0.75114970803935477</v>
      </c>
      <c r="AJ4" s="34">
        <f>COS(AD4)</f>
        <v>0.98058067569092011</v>
      </c>
      <c r="AK4" s="34">
        <f>SIN(AD4)</f>
        <v>0.19611613513818404</v>
      </c>
      <c r="AL4" s="34">
        <f>SIN(AH4)</f>
        <v>0.86602540378443871</v>
      </c>
      <c r="AM4" s="35">
        <f>B4/2</f>
        <v>15</v>
      </c>
      <c r="AN4" s="35">
        <f>(AM4*AK4)/AI4</f>
        <v>3.9163192045315083</v>
      </c>
      <c r="AO4" s="36">
        <f>(AM4*AL4)/AI4</f>
        <v>17.293997345314789</v>
      </c>
      <c r="AP4" s="30">
        <f>AO4+AC4</f>
        <v>38.707340576854889</v>
      </c>
      <c r="AQ4" s="30">
        <f>AP4*AJ4</f>
        <v>37.955670177050933</v>
      </c>
      <c r="AR4" s="37">
        <f>(AP4*C4*D4)/43560</f>
        <v>0</v>
      </c>
      <c r="AS4" s="37">
        <f>(AQ4*C4*D4)/43560</f>
        <v>0</v>
      </c>
      <c r="AT4" s="37">
        <f>(((AA4*AA4)*Y4*Z4)/(2*W4))/27</f>
        <v>1.1665283652658438</v>
      </c>
      <c r="AU4" s="30">
        <f>AT4*C4*D4</f>
        <v>0</v>
      </c>
      <c r="AY4" s="232"/>
      <c r="AZ4" s="185"/>
      <c r="BA4" s="186"/>
      <c r="BB4" s="233"/>
      <c r="BC4" s="185"/>
      <c r="BE4" s="67"/>
    </row>
    <row r="5" spans="1:57" x14ac:dyDescent="0.2">
      <c r="A5" s="343" t="s">
        <v>11</v>
      </c>
      <c r="B5" s="346">
        <v>30</v>
      </c>
      <c r="C5" s="346">
        <v>80</v>
      </c>
      <c r="D5" s="222">
        <f>'Cost Estimate'!B11</f>
        <v>0</v>
      </c>
      <c r="E5" s="347">
        <v>0.4</v>
      </c>
      <c r="F5" s="167" t="s">
        <v>135</v>
      </c>
      <c r="G5" s="168">
        <v>60</v>
      </c>
      <c r="H5" s="64">
        <f>ATAN(E5)</f>
        <v>0.3805063771123649</v>
      </c>
      <c r="I5" s="169">
        <v>1.2</v>
      </c>
      <c r="J5" s="29">
        <f>DEGREES(H5)</f>
        <v>21.801409486351812</v>
      </c>
      <c r="K5" s="30">
        <f>(B5*C5*D5)/43560</f>
        <v>0</v>
      </c>
      <c r="L5" s="30">
        <f>AQ5</f>
        <v>54.490506376362283</v>
      </c>
      <c r="M5" s="30">
        <f>AP5</f>
        <v>58.688071452184893</v>
      </c>
      <c r="N5" s="30">
        <f>(AQ5*C5*D5)/43560</f>
        <v>0</v>
      </c>
      <c r="O5" s="30">
        <f>(AP5*C5*D5)/43560</f>
        <v>0</v>
      </c>
      <c r="P5" s="30">
        <f>(((AA5*AA5)*Y5*Z5)/(2*W5))/27</f>
        <v>3.8873526315905953</v>
      </c>
      <c r="Q5" s="31">
        <f>IF(P5*C5&gt;0,P5*C5,0)</f>
        <v>310.98821052724765</v>
      </c>
      <c r="R5" s="32">
        <f>RADIANS(J5)</f>
        <v>0.3805063771123649</v>
      </c>
      <c r="S5" s="33">
        <f>F5-J5</f>
        <v>13.198590513648188</v>
      </c>
      <c r="T5" s="34">
        <f>RADIANS(S5)</f>
        <v>0.23035886108565046</v>
      </c>
      <c r="U5" s="33">
        <f>180-F5</f>
        <v>145</v>
      </c>
      <c r="V5" s="34">
        <f>RADIANS(U5)</f>
        <v>2.530727415391778</v>
      </c>
      <c r="W5" s="34">
        <f>SIN(T5)</f>
        <v>0.22832691982764344</v>
      </c>
      <c r="X5" s="34">
        <f>COS(T5)</f>
        <v>0.97358452005052998</v>
      </c>
      <c r="Y5" s="34">
        <f>SIN(R5)</f>
        <v>0.37139067635410372</v>
      </c>
      <c r="Z5" s="34">
        <f>SIN(V5)</f>
        <v>0.57357643635104594</v>
      </c>
      <c r="AA5" s="35">
        <f>B5/2</f>
        <v>15</v>
      </c>
      <c r="AB5" s="35">
        <f>(AA5*Y5)/W5</f>
        <v>24.398612960385123</v>
      </c>
      <c r="AC5" s="36">
        <f>(AA5*Z5)/W5</f>
        <v>37.681262252214076</v>
      </c>
      <c r="AD5" s="32">
        <f>R5</f>
        <v>0.3805063771123649</v>
      </c>
      <c r="AE5" s="33">
        <f>G5-J5</f>
        <v>38.198590513648185</v>
      </c>
      <c r="AF5" s="34">
        <f>RADIANS(AE5)</f>
        <v>0.66669117408423284</v>
      </c>
      <c r="AG5" s="33">
        <f>180-G5</f>
        <v>120</v>
      </c>
      <c r="AH5" s="34">
        <f>RADIANS(AG5)</f>
        <v>2.0943951023931953</v>
      </c>
      <c r="AI5" s="34">
        <f>SIN(AF5)</f>
        <v>0.61838906295129425</v>
      </c>
      <c r="AJ5" s="34">
        <f>COS(AD5)</f>
        <v>0.9284766908852593</v>
      </c>
      <c r="AK5" s="34">
        <f>SIN(AD5)</f>
        <v>0.37139067635410372</v>
      </c>
      <c r="AL5" s="34">
        <f>SIN(AH5)</f>
        <v>0.86602540378443871</v>
      </c>
      <c r="AM5" s="35">
        <f>B5/2</f>
        <v>15</v>
      </c>
      <c r="AN5" s="35">
        <f>(AM5*AK5)/AI5</f>
        <v>9.0086653840938489</v>
      </c>
      <c r="AO5" s="36">
        <f>(AM5*AL5)/AI5</f>
        <v>21.006809199970817</v>
      </c>
      <c r="AP5" s="30">
        <f>AO5+AC5</f>
        <v>58.688071452184893</v>
      </c>
      <c r="AQ5" s="30">
        <f>AP5*AJ5</f>
        <v>54.490506376362283</v>
      </c>
      <c r="AR5" s="37">
        <f>(AP5*C5*D5)/43560</f>
        <v>0</v>
      </c>
      <c r="AS5" s="37">
        <f>(AQ5*C5*D5)/43560</f>
        <v>0</v>
      </c>
      <c r="AT5" s="37">
        <f>(((AA5*AA5)*Y5*Z5)/(2*W5))/27</f>
        <v>3.8873526315905953</v>
      </c>
      <c r="AU5" s="30">
        <f>AT5*C5*D5</f>
        <v>0</v>
      </c>
      <c r="AY5" s="232"/>
      <c r="AZ5" s="185"/>
      <c r="BA5" s="186"/>
      <c r="BB5" s="233"/>
      <c r="BC5" s="185"/>
      <c r="BE5" s="67"/>
    </row>
    <row r="6" spans="1:57" x14ac:dyDescent="0.2">
      <c r="A6" s="343" t="s">
        <v>216</v>
      </c>
      <c r="B6" s="346">
        <v>30</v>
      </c>
      <c r="C6" s="346">
        <v>70</v>
      </c>
      <c r="D6" s="222">
        <f>'Cost Estimate'!B12</f>
        <v>0</v>
      </c>
      <c r="E6" s="347">
        <v>0</v>
      </c>
      <c r="F6" s="167" t="s">
        <v>135</v>
      </c>
      <c r="G6" s="168">
        <v>60</v>
      </c>
      <c r="H6" s="64">
        <f>ATAN(E6)</f>
        <v>0</v>
      </c>
      <c r="I6" s="169">
        <v>1.2</v>
      </c>
      <c r="J6" s="29">
        <f>DEGREES(H6)</f>
        <v>0</v>
      </c>
      <c r="K6" s="30">
        <f>(B6*C6*D6)/43560</f>
        <v>0</v>
      </c>
      <c r="L6" s="30">
        <f>AQ6</f>
        <v>30</v>
      </c>
      <c r="M6" s="30">
        <f>AP6</f>
        <v>30</v>
      </c>
      <c r="N6" s="30">
        <f>(AQ6*C6*D6)/43560</f>
        <v>0</v>
      </c>
      <c r="O6" s="30">
        <f>(AP6*C6*D6)/43560</f>
        <v>0</v>
      </c>
      <c r="P6" s="30">
        <f>(((AA6*AA6)*Y6*Z6)/(2*W6))/27</f>
        <v>0</v>
      </c>
      <c r="Q6" s="31">
        <f>IF(P6*C6&gt;0,P6*C6,0)</f>
        <v>0</v>
      </c>
      <c r="R6" s="32">
        <f>RADIANS(J6)</f>
        <v>0</v>
      </c>
      <c r="S6" s="33">
        <f>F6-J6</f>
        <v>35</v>
      </c>
      <c r="T6" s="34">
        <f>RADIANS(S6)</f>
        <v>0.6108652381980153</v>
      </c>
      <c r="U6" s="33">
        <f>180-F6</f>
        <v>145</v>
      </c>
      <c r="V6" s="34">
        <f>RADIANS(U6)</f>
        <v>2.530727415391778</v>
      </c>
      <c r="W6" s="34">
        <f>SIN(T6)</f>
        <v>0.57357643635104605</v>
      </c>
      <c r="X6" s="34">
        <f>COS(T6)</f>
        <v>0.8191520442889918</v>
      </c>
      <c r="Y6" s="34">
        <f>SIN(R6)</f>
        <v>0</v>
      </c>
      <c r="Z6" s="34">
        <f>SIN(V6)</f>
        <v>0.57357643635104594</v>
      </c>
      <c r="AA6" s="35">
        <f>B6/2</f>
        <v>15</v>
      </c>
      <c r="AB6" s="35">
        <f>(AA6*Y6)/W6</f>
        <v>0</v>
      </c>
      <c r="AC6" s="36">
        <f>(AA6*Z6)/W6</f>
        <v>14.999999999999998</v>
      </c>
      <c r="AD6" s="32">
        <f>R6</f>
        <v>0</v>
      </c>
      <c r="AE6" s="33">
        <f>G6-J6</f>
        <v>60</v>
      </c>
      <c r="AF6" s="34">
        <f>RADIANS(AE6)</f>
        <v>1.0471975511965976</v>
      </c>
      <c r="AG6" s="33">
        <f>180-G6</f>
        <v>120</v>
      </c>
      <c r="AH6" s="34">
        <f>RADIANS(AG6)</f>
        <v>2.0943951023931953</v>
      </c>
      <c r="AI6" s="34">
        <f>SIN(AF6)</f>
        <v>0.8660254037844386</v>
      </c>
      <c r="AJ6" s="34">
        <f>COS(AD6)</f>
        <v>1</v>
      </c>
      <c r="AK6" s="34">
        <f>SIN(AD6)</f>
        <v>0</v>
      </c>
      <c r="AL6" s="34">
        <f>SIN(AH6)</f>
        <v>0.86602540378443871</v>
      </c>
      <c r="AM6" s="35">
        <f>B6/2</f>
        <v>15</v>
      </c>
      <c r="AN6" s="35">
        <f>(AM6*AK6)/AI6</f>
        <v>0</v>
      </c>
      <c r="AO6" s="36">
        <f>(AM6*AL6)/AI6</f>
        <v>15.000000000000002</v>
      </c>
      <c r="AP6" s="30">
        <f>AO6+AC6</f>
        <v>30</v>
      </c>
      <c r="AQ6" s="30">
        <f>AP6*AJ6</f>
        <v>30</v>
      </c>
      <c r="AR6" s="37">
        <f>(AP6*C6*D6)/43560</f>
        <v>0</v>
      </c>
      <c r="AS6" s="37">
        <f>(AQ6*C6*D6)/43560</f>
        <v>0</v>
      </c>
      <c r="AT6" s="37">
        <f>(((AA6*AA6)*Y6*Z6)/(2*W6))/27</f>
        <v>0</v>
      </c>
      <c r="AU6" s="30">
        <f>AT6*C6*D6</f>
        <v>0</v>
      </c>
      <c r="AY6" s="232"/>
      <c r="AZ6" s="185"/>
      <c r="BA6" s="186"/>
      <c r="BB6" s="233"/>
      <c r="BC6" s="185"/>
      <c r="BE6" s="67"/>
    </row>
    <row r="7" spans="1:57" x14ac:dyDescent="0.2">
      <c r="A7" s="66"/>
      <c r="B7" s="212"/>
      <c r="C7" s="213"/>
      <c r="D7" s="223"/>
      <c r="E7" s="170"/>
      <c r="F7" s="171"/>
      <c r="G7" s="172"/>
      <c r="H7" s="173"/>
      <c r="I7" s="174"/>
      <c r="J7" s="175"/>
      <c r="K7" s="176"/>
      <c r="L7" s="176"/>
      <c r="M7" s="176"/>
      <c r="N7" s="176"/>
      <c r="O7" s="176"/>
      <c r="P7" s="176"/>
      <c r="Q7" s="177"/>
      <c r="R7" s="178"/>
      <c r="S7" s="176"/>
      <c r="T7" s="179"/>
      <c r="U7" s="176"/>
      <c r="V7" s="179"/>
      <c r="W7" s="179"/>
      <c r="X7" s="179"/>
      <c r="Y7" s="179"/>
      <c r="Z7" s="179"/>
      <c r="AA7" s="175"/>
      <c r="AB7" s="175"/>
      <c r="AC7" s="180"/>
      <c r="AD7" s="178"/>
      <c r="AE7" s="176"/>
      <c r="AF7" s="179"/>
      <c r="AG7" s="176"/>
      <c r="AH7" s="179"/>
      <c r="AI7" s="179"/>
      <c r="AJ7" s="179"/>
      <c r="AK7" s="179"/>
      <c r="AL7" s="179"/>
      <c r="AM7" s="175"/>
      <c r="AN7" s="175"/>
      <c r="AO7" s="180"/>
      <c r="AP7" s="176"/>
      <c r="AQ7" s="176"/>
      <c r="AR7" s="179"/>
      <c r="AS7" s="179"/>
      <c r="AT7" s="179"/>
      <c r="AU7" s="176"/>
      <c r="AV7" s="3"/>
      <c r="AW7" s="3"/>
      <c r="AX7" s="3"/>
      <c r="AY7" s="232"/>
      <c r="AZ7" s="185"/>
      <c r="BA7" s="186"/>
      <c r="BB7" s="233"/>
      <c r="BC7" s="185"/>
      <c r="BE7" s="67"/>
    </row>
    <row r="8" spans="1:57" x14ac:dyDescent="0.2">
      <c r="A8" s="2" t="s">
        <v>63</v>
      </c>
      <c r="B8" s="2"/>
      <c r="C8" s="47"/>
      <c r="D8" s="8">
        <f>SUM(D4:D7)</f>
        <v>0</v>
      </c>
      <c r="E8" s="47"/>
      <c r="F8" s="47"/>
      <c r="G8" s="47"/>
      <c r="H8" s="47"/>
      <c r="I8" s="48"/>
      <c r="J8" s="49"/>
      <c r="K8" s="49"/>
      <c r="L8" s="187"/>
      <c r="M8" s="187"/>
      <c r="N8" s="48">
        <f>SUM(N4:N7)</f>
        <v>0</v>
      </c>
      <c r="O8" s="48">
        <f>SUM(O4:O7)</f>
        <v>0</v>
      </c>
      <c r="P8" s="41"/>
      <c r="Q8" s="40"/>
      <c r="R8" s="41"/>
      <c r="S8" s="40"/>
      <c r="T8" s="41"/>
      <c r="U8" s="41"/>
      <c r="V8" s="41"/>
      <c r="W8" s="41"/>
      <c r="X8" s="41"/>
      <c r="Y8" s="42"/>
      <c r="Z8" s="42"/>
      <c r="AA8" s="43"/>
      <c r="AB8" s="44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5"/>
      <c r="AN8" s="40"/>
      <c r="AO8" s="181"/>
      <c r="AP8" s="41"/>
      <c r="AQ8" s="41"/>
      <c r="AR8" s="41"/>
      <c r="AS8" s="181"/>
      <c r="AW8" s="59"/>
      <c r="AX8" s="183"/>
      <c r="AZ8" s="234"/>
      <c r="BA8" s="183"/>
      <c r="BC8" s="235"/>
      <c r="BE8" s="236"/>
    </row>
    <row r="9" spans="1:57" x14ac:dyDescent="0.2">
      <c r="A9" s="72" t="s">
        <v>166</v>
      </c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4"/>
      <c r="AX9" s="185"/>
      <c r="AY9" s="186"/>
      <c r="AZ9" s="184"/>
      <c r="BA9" s="185"/>
      <c r="BC9" s="67"/>
    </row>
    <row r="10" spans="1:57" x14ac:dyDescent="0.2">
      <c r="A10" s="165" t="s">
        <v>167</v>
      </c>
    </row>
    <row r="11" spans="1:57" x14ac:dyDescent="0.2">
      <c r="A11" s="166" t="s">
        <v>168</v>
      </c>
    </row>
    <row r="12" spans="1:57" x14ac:dyDescent="0.2">
      <c r="A12" s="78" t="s">
        <v>169</v>
      </c>
    </row>
  </sheetData>
  <sheetProtection password="DD80" sheet="1"/>
  <mergeCells count="5">
    <mergeCell ref="AN1:AS1"/>
    <mergeCell ref="A2:J2"/>
    <mergeCell ref="A1:J1"/>
    <mergeCell ref="P1:AA1"/>
    <mergeCell ref="AB1:AM1"/>
  </mergeCells>
  <phoneticPr fontId="17" type="noConversion"/>
  <printOptions horizontalCentered="1" verticalCentered="1" gridLines="1"/>
  <pageMargins left="0.5" right="0.5" top="1" bottom="1" header="0.5" footer="0.5"/>
  <pageSetup scale="70" fitToWidth="5" orientation="landscape" r:id="rId1"/>
  <headerFooter alignWithMargins="0">
    <oddHeader>&amp;C&amp;Z&amp;F&amp;R&amp;A</oddHeader>
    <oddFooter>&amp;LBLM Elko, Bergwall&amp;C&amp;P of &amp;N&amp;R&amp;D</oddFooter>
  </headerFooter>
  <colBreaks count="3" manualBreakCount="3">
    <brk id="15" max="1048575" man="1"/>
    <brk id="27" max="1048575" man="1"/>
    <brk id="3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R11"/>
  <sheetViews>
    <sheetView view="pageBreakPreview" zoomScale="75" zoomScaleNormal="100" workbookViewId="0">
      <selection activeCell="A8" sqref="A8:A11"/>
    </sheetView>
  </sheetViews>
  <sheetFormatPr defaultRowHeight="12.75" x14ac:dyDescent="0.2"/>
  <cols>
    <col min="1" max="1" width="10.7109375" style="2" customWidth="1"/>
    <col min="2" max="11" width="10.7109375" customWidth="1"/>
    <col min="12" max="16" width="12.7109375" customWidth="1"/>
  </cols>
  <sheetData>
    <row r="1" spans="1:18" s="63" customFormat="1" ht="37.5" customHeight="1" x14ac:dyDescent="0.25">
      <c r="A1" s="415" t="s">
        <v>255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R1" s="28"/>
    </row>
    <row r="2" spans="1:18" s="63" customFormat="1" ht="39.75" customHeight="1" x14ac:dyDescent="0.25">
      <c r="A2" s="416" t="str">
        <f>'Cost Estimate'!A3:I3</f>
        <v>Enter Project Name</v>
      </c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R2" s="67"/>
    </row>
    <row r="3" spans="1:18" s="9" customFormat="1" ht="51" x14ac:dyDescent="0.2">
      <c r="A3" s="98" t="s">
        <v>54</v>
      </c>
      <c r="B3" s="98" t="s">
        <v>44</v>
      </c>
      <c r="C3" s="98" t="s">
        <v>45</v>
      </c>
      <c r="D3" s="98" t="s">
        <v>175</v>
      </c>
      <c r="E3" s="98" t="s">
        <v>176</v>
      </c>
      <c r="F3" s="98" t="s">
        <v>47</v>
      </c>
      <c r="G3" s="98" t="s">
        <v>48</v>
      </c>
      <c r="H3" s="98" t="s">
        <v>49</v>
      </c>
      <c r="I3" s="98" t="s">
        <v>50</v>
      </c>
      <c r="J3" s="99" t="s">
        <v>210</v>
      </c>
      <c r="K3" s="101" t="s">
        <v>211</v>
      </c>
      <c r="L3" s="101" t="s">
        <v>179</v>
      </c>
      <c r="M3" s="101" t="s">
        <v>51</v>
      </c>
      <c r="N3" s="101" t="s">
        <v>52</v>
      </c>
      <c r="O3" s="101" t="s">
        <v>180</v>
      </c>
      <c r="P3" s="70" t="s">
        <v>53</v>
      </c>
      <c r="Q3" s="70"/>
      <c r="R3" s="188" t="s">
        <v>153</v>
      </c>
    </row>
    <row r="4" spans="1:18" s="2" customFormat="1" ht="38.25" x14ac:dyDescent="0.2">
      <c r="A4" s="414" t="s">
        <v>55</v>
      </c>
      <c r="B4" s="414"/>
      <c r="C4" s="414"/>
      <c r="D4" s="414"/>
      <c r="E4" s="106"/>
      <c r="F4" s="189" t="s">
        <v>177</v>
      </c>
      <c r="G4" s="189" t="s">
        <v>57</v>
      </c>
      <c r="H4" s="203">
        <v>1.2</v>
      </c>
      <c r="I4" s="151" t="s">
        <v>58</v>
      </c>
      <c r="J4" s="190" t="s">
        <v>59</v>
      </c>
      <c r="K4" s="191" t="s">
        <v>60</v>
      </c>
      <c r="L4" s="191" t="s">
        <v>61</v>
      </c>
      <c r="M4" s="191" t="s">
        <v>181</v>
      </c>
      <c r="N4" s="191" t="s">
        <v>182</v>
      </c>
      <c r="O4" s="191" t="s">
        <v>208</v>
      </c>
      <c r="P4" s="191" t="s">
        <v>62</v>
      </c>
      <c r="Q4" s="73"/>
      <c r="R4" s="192"/>
    </row>
    <row r="5" spans="1:18" x14ac:dyDescent="0.2">
      <c r="A5" s="114">
        <v>1</v>
      </c>
      <c r="B5" s="90">
        <v>10</v>
      </c>
      <c r="C5" s="90">
        <v>20</v>
      </c>
      <c r="D5" s="169">
        <v>6.75</v>
      </c>
      <c r="E5" s="193">
        <f>'Cost Estimate'!B13</f>
        <v>0</v>
      </c>
      <c r="F5" s="194">
        <f>E5*D5*C5*B5</f>
        <v>0</v>
      </c>
      <c r="G5" s="194">
        <f>F5/27</f>
        <v>0</v>
      </c>
      <c r="H5" s="203">
        <f>H$4</f>
        <v>1.2</v>
      </c>
      <c r="I5" s="194">
        <f>H5*G5</f>
        <v>0</v>
      </c>
      <c r="J5" s="194">
        <f>C5*B5</f>
        <v>200</v>
      </c>
      <c r="K5" s="117">
        <f>J5/43560</f>
        <v>4.5913682277318639E-3</v>
      </c>
      <c r="L5" s="194">
        <f>B5*D5*H5</f>
        <v>81</v>
      </c>
      <c r="M5" s="117">
        <f>SQRT(L5/2)</f>
        <v>6.3639610306789276</v>
      </c>
      <c r="N5" s="117">
        <f>M5*4</f>
        <v>25.45584412271571</v>
      </c>
      <c r="O5" s="117">
        <f>B5+N5</f>
        <v>35.45584412271571</v>
      </c>
      <c r="P5" s="129">
        <f>IF(E5&gt;0,((B5+N5)*E5*C5/43560),0)</f>
        <v>0</v>
      </c>
      <c r="Q5" s="72"/>
      <c r="R5" s="192">
        <f>'Drill Sites'!D4</f>
        <v>0</v>
      </c>
    </row>
    <row r="6" spans="1:18" x14ac:dyDescent="0.2">
      <c r="A6" s="132"/>
      <c r="B6" s="132"/>
      <c r="C6" s="132"/>
      <c r="D6" s="132"/>
      <c r="E6" s="132"/>
      <c r="F6" s="132"/>
      <c r="G6" s="132"/>
      <c r="H6" s="195"/>
      <c r="I6" s="195"/>
      <c r="J6" s="132"/>
      <c r="K6" s="133"/>
      <c r="L6" s="136"/>
      <c r="M6" s="136"/>
      <c r="N6" s="136"/>
      <c r="O6" s="136"/>
      <c r="P6" s="196"/>
      <c r="Q6" s="72"/>
      <c r="R6" s="159"/>
    </row>
    <row r="7" spans="1:18" x14ac:dyDescent="0.2">
      <c r="A7" s="73" t="s">
        <v>63</v>
      </c>
      <c r="B7" s="73"/>
      <c r="C7" s="197">
        <f>SUM(C5:C6)</f>
        <v>20</v>
      </c>
      <c r="D7" s="198"/>
      <c r="E7" s="197">
        <f>SUM(E5:E6)</f>
        <v>0</v>
      </c>
      <c r="F7" s="198"/>
      <c r="G7" s="151">
        <f>SUM(G5:G6)</f>
        <v>0</v>
      </c>
      <c r="H7" s="151"/>
      <c r="I7" s="199">
        <f>SUM(I5:I6)</f>
        <v>0</v>
      </c>
      <c r="J7" s="198"/>
      <c r="K7" s="200">
        <f>SUM(K5:K6)</f>
        <v>4.5913682277318639E-3</v>
      </c>
      <c r="L7" s="201">
        <f>SUM(L5:L6)</f>
        <v>81</v>
      </c>
      <c r="M7" s="146"/>
      <c r="N7" s="146"/>
      <c r="O7" s="146"/>
      <c r="P7" s="231">
        <f>SUM(P5:P6)</f>
        <v>0</v>
      </c>
      <c r="Q7" s="72"/>
      <c r="R7" s="164">
        <f>SUM(R5:R6)</f>
        <v>0</v>
      </c>
    </row>
    <row r="8" spans="1:18" x14ac:dyDescent="0.2">
      <c r="A8" s="82" t="s">
        <v>125</v>
      </c>
      <c r="B8" s="72"/>
      <c r="C8" s="72"/>
      <c r="D8" s="413" t="s">
        <v>178</v>
      </c>
      <c r="E8" s="413"/>
      <c r="F8" s="413"/>
      <c r="G8" s="413"/>
      <c r="H8" s="413"/>
      <c r="I8" s="413"/>
      <c r="J8" s="413"/>
      <c r="K8" s="413"/>
      <c r="L8" s="413"/>
      <c r="M8" s="413"/>
      <c r="N8" s="413"/>
      <c r="O8" s="413"/>
      <c r="P8" s="413"/>
      <c r="Q8" s="72"/>
      <c r="R8" s="72"/>
    </row>
    <row r="9" spans="1:18" x14ac:dyDescent="0.2">
      <c r="A9" s="83" t="s">
        <v>128</v>
      </c>
      <c r="B9" s="72"/>
      <c r="C9" s="7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72"/>
      <c r="R9" s="72"/>
    </row>
    <row r="10" spans="1:18" x14ac:dyDescent="0.2">
      <c r="A10" s="84" t="s">
        <v>126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</row>
    <row r="11" spans="1:18" x14ac:dyDescent="0.2">
      <c r="A11" s="85" t="s">
        <v>127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</row>
  </sheetData>
  <sheetProtection password="DD80" sheet="1"/>
  <mergeCells count="4">
    <mergeCell ref="D8:P8"/>
    <mergeCell ref="A4:D4"/>
    <mergeCell ref="A1:P1"/>
    <mergeCell ref="A2:P2"/>
  </mergeCells>
  <phoneticPr fontId="17" type="noConversion"/>
  <printOptions horizontalCentered="1" verticalCentered="1" gridLines="1"/>
  <pageMargins left="0.25" right="0.25" top="1" bottom="1" header="0.25" footer="0.25"/>
  <pageSetup scale="75" orientation="landscape" r:id="rId1"/>
  <headerFooter alignWithMargins="0">
    <oddHeader>&amp;C&amp;Z&amp;F&amp;R&amp;A</oddHeader>
    <oddFooter>&amp;LBLM Elko, Bergwall&amp;C&amp;P of &amp;N&amp;R&amp;D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P11"/>
  <sheetViews>
    <sheetView view="pageBreakPreview" zoomScaleNormal="100" workbookViewId="0">
      <selection activeCell="F5" sqref="F5"/>
    </sheetView>
  </sheetViews>
  <sheetFormatPr defaultRowHeight="12.75" x14ac:dyDescent="0.2"/>
  <cols>
    <col min="1" max="1" width="10.7109375" style="2" customWidth="1"/>
    <col min="2" max="11" width="10.7109375" customWidth="1"/>
    <col min="12" max="14" width="12.7109375" customWidth="1"/>
    <col min="16" max="16" width="10.85546875" customWidth="1"/>
  </cols>
  <sheetData>
    <row r="1" spans="1:16" s="63" customFormat="1" ht="18.75" customHeight="1" x14ac:dyDescent="0.25">
      <c r="A1" s="415" t="s">
        <v>254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P1" s="28"/>
    </row>
    <row r="2" spans="1:16" s="63" customFormat="1" ht="18.75" customHeight="1" x14ac:dyDescent="0.25">
      <c r="A2" s="415" t="str">
        <f>'Cost Estimate'!A3:I3</f>
        <v>Enter Project Name</v>
      </c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P2" s="67"/>
    </row>
    <row r="3" spans="1:16" s="9" customFormat="1" ht="38.25" x14ac:dyDescent="0.2">
      <c r="A3" s="17" t="s">
        <v>119</v>
      </c>
      <c r="B3" s="17" t="s">
        <v>44</v>
      </c>
      <c r="C3" s="17" t="s">
        <v>45</v>
      </c>
      <c r="D3" s="17" t="s">
        <v>46</v>
      </c>
      <c r="E3" s="17" t="s">
        <v>207</v>
      </c>
      <c r="F3" s="17" t="s">
        <v>120</v>
      </c>
      <c r="G3" s="17" t="s">
        <v>121</v>
      </c>
      <c r="H3" s="17" t="s">
        <v>49</v>
      </c>
      <c r="I3" s="17" t="s">
        <v>50</v>
      </c>
      <c r="J3" s="18" t="s">
        <v>209</v>
      </c>
      <c r="K3" s="19" t="s">
        <v>122</v>
      </c>
      <c r="L3" s="101" t="s">
        <v>246</v>
      </c>
      <c r="M3" s="101" t="s">
        <v>180</v>
      </c>
      <c r="N3" s="9" t="s">
        <v>123</v>
      </c>
      <c r="P3" s="68" t="s">
        <v>154</v>
      </c>
    </row>
    <row r="4" spans="1:16" s="2" customFormat="1" ht="25.5" x14ac:dyDescent="0.2">
      <c r="A4" s="417" t="s">
        <v>124</v>
      </c>
      <c r="B4" s="417"/>
      <c r="C4" s="417"/>
      <c r="D4" s="417"/>
      <c r="E4" s="86"/>
      <c r="F4" s="50" t="s">
        <v>56</v>
      </c>
      <c r="G4" s="50" t="s">
        <v>57</v>
      </c>
      <c r="H4" s="345"/>
      <c r="I4" s="47" t="s">
        <v>58</v>
      </c>
      <c r="J4" s="51" t="s">
        <v>59</v>
      </c>
      <c r="K4" s="52" t="s">
        <v>60</v>
      </c>
      <c r="L4" s="191"/>
      <c r="M4" s="191" t="s">
        <v>183</v>
      </c>
      <c r="N4" s="52" t="s">
        <v>62</v>
      </c>
      <c r="P4" s="67"/>
    </row>
    <row r="5" spans="1:16" x14ac:dyDescent="0.2">
      <c r="A5" s="343">
        <v>1</v>
      </c>
      <c r="B5" s="333">
        <v>14</v>
      </c>
      <c r="C5" s="344">
        <f>'Cost Estimate'!B16</f>
        <v>0</v>
      </c>
      <c r="D5" s="333">
        <v>5</v>
      </c>
      <c r="E5" s="333">
        <v>1</v>
      </c>
      <c r="F5" s="8">
        <f>E5*D5*C5*B5</f>
        <v>0</v>
      </c>
      <c r="G5" s="8">
        <f>F5/27</f>
        <v>0</v>
      </c>
      <c r="H5" s="345">
        <v>1.3</v>
      </c>
      <c r="I5" s="8">
        <f>H5*G5</f>
        <v>0</v>
      </c>
      <c r="J5" s="8">
        <f>E5*C5*B5</f>
        <v>0</v>
      </c>
      <c r="K5" s="29">
        <f>J5/43560</f>
        <v>0</v>
      </c>
      <c r="L5" s="334">
        <v>10</v>
      </c>
      <c r="M5" s="117">
        <f>B5+L5</f>
        <v>24</v>
      </c>
      <c r="N5" s="129">
        <f>IF(E5&gt;0,((M5)*C5)/43560,0)</f>
        <v>0</v>
      </c>
      <c r="P5" s="67">
        <f>E5</f>
        <v>1</v>
      </c>
    </row>
    <row r="6" spans="1:16" x14ac:dyDescent="0.2">
      <c r="A6" s="38"/>
      <c r="B6" s="65"/>
      <c r="C6" s="65"/>
      <c r="D6" s="65"/>
      <c r="E6" s="65"/>
      <c r="F6" s="38"/>
      <c r="G6" s="38"/>
      <c r="H6" s="53"/>
      <c r="I6" s="53"/>
      <c r="J6" s="38"/>
      <c r="K6" s="39"/>
      <c r="L6" s="46"/>
      <c r="M6" s="46"/>
      <c r="N6" s="54"/>
      <c r="P6" s="3"/>
    </row>
    <row r="7" spans="1:16" x14ac:dyDescent="0.2">
      <c r="A7" s="2" t="s">
        <v>63</v>
      </c>
      <c r="B7" s="2"/>
      <c r="C7" s="55">
        <f>SUM(C5:C6)</f>
        <v>0</v>
      </c>
      <c r="D7" s="56"/>
      <c r="E7" s="56"/>
      <c r="F7" s="56"/>
      <c r="G7" s="47"/>
      <c r="H7" s="47"/>
      <c r="I7" s="61">
        <f>SUM(I5:I6)</f>
        <v>0</v>
      </c>
      <c r="J7" s="56"/>
      <c r="K7" s="57">
        <f>SUM(K5:K6)</f>
        <v>0</v>
      </c>
      <c r="L7" s="46"/>
      <c r="M7" s="46"/>
      <c r="N7" s="335">
        <f>SUM(N5:N6)</f>
        <v>0</v>
      </c>
      <c r="P7" s="67">
        <f>SUM(P5:P6)</f>
        <v>1</v>
      </c>
    </row>
    <row r="8" spans="1:16" x14ac:dyDescent="0.2">
      <c r="A8" s="82" t="s">
        <v>125</v>
      </c>
      <c r="P8" s="67"/>
    </row>
    <row r="9" spans="1:16" x14ac:dyDescent="0.2">
      <c r="A9" s="83" t="s">
        <v>128</v>
      </c>
    </row>
    <row r="10" spans="1:16" x14ac:dyDescent="0.2">
      <c r="A10" s="84" t="s">
        <v>126</v>
      </c>
    </row>
    <row r="11" spans="1:16" x14ac:dyDescent="0.2">
      <c r="A11" s="85" t="s">
        <v>127</v>
      </c>
    </row>
  </sheetData>
  <sheetProtection password="DD80" sheet="1"/>
  <mergeCells count="3">
    <mergeCell ref="A1:N1"/>
    <mergeCell ref="A2:N2"/>
    <mergeCell ref="A4:D4"/>
  </mergeCells>
  <phoneticPr fontId="17" type="noConversion"/>
  <printOptions horizontalCentered="1" verticalCentered="1" gridLines="1"/>
  <pageMargins left="0.25" right="0.25" top="1" bottom="1" header="0.5" footer="0.5"/>
  <pageSetup scale="87" orientation="landscape" r:id="rId1"/>
  <headerFooter alignWithMargins="0">
    <oddHeader>&amp;C&amp;Z&amp;F&amp;R&amp;A</oddHeader>
    <oddFooter>&amp;LBLM Elko, Bergwall&amp;C&amp;P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J17"/>
  <sheetViews>
    <sheetView view="pageBreakPreview" zoomScale="110" zoomScaleNormal="100" workbookViewId="0">
      <selection activeCell="F11" sqref="F11"/>
    </sheetView>
  </sheetViews>
  <sheetFormatPr defaultRowHeight="12.75" x14ac:dyDescent="0.2"/>
  <cols>
    <col min="2" max="2" width="13.140625" customWidth="1"/>
    <col min="4" max="5" width="10.85546875" customWidth="1"/>
    <col min="6" max="6" width="15.7109375" customWidth="1"/>
    <col min="7" max="7" width="12" customWidth="1"/>
    <col min="8" max="8" width="15.28515625" customWidth="1"/>
  </cols>
  <sheetData>
    <row r="1" spans="1:10" x14ac:dyDescent="0.2">
      <c r="A1" s="406" t="s">
        <v>253</v>
      </c>
      <c r="B1" s="406"/>
      <c r="C1" s="406"/>
      <c r="D1" s="406"/>
      <c r="E1" s="406"/>
      <c r="F1" s="406"/>
      <c r="G1" s="406"/>
      <c r="H1" s="406"/>
    </row>
    <row r="2" spans="1:10" x14ac:dyDescent="0.2">
      <c r="A2" s="405" t="str">
        <f>'Cost Estimate'!A3:I3</f>
        <v>Enter Project Name</v>
      </c>
      <c r="B2" s="405"/>
      <c r="C2" s="405"/>
      <c r="D2" s="405"/>
      <c r="E2" s="405"/>
      <c r="F2" s="405"/>
      <c r="G2" s="405"/>
      <c r="H2" s="405"/>
      <c r="J2" s="182"/>
    </row>
    <row r="3" spans="1:10" ht="51" x14ac:dyDescent="0.2">
      <c r="A3" s="58" t="s">
        <v>41</v>
      </c>
      <c r="B3" s="58" t="s">
        <v>108</v>
      </c>
      <c r="C3" s="58" t="s">
        <v>111</v>
      </c>
      <c r="D3" s="58" t="s">
        <v>212</v>
      </c>
      <c r="E3" s="58" t="s">
        <v>213</v>
      </c>
      <c r="F3" s="58" t="s">
        <v>113</v>
      </c>
      <c r="G3" s="58" t="s">
        <v>109</v>
      </c>
      <c r="H3" s="58" t="s">
        <v>110</v>
      </c>
      <c r="J3" s="221"/>
    </row>
    <row r="4" spans="1:10" x14ac:dyDescent="0.2">
      <c r="A4" s="363">
        <v>1</v>
      </c>
      <c r="B4" s="364">
        <v>0</v>
      </c>
      <c r="C4" s="365">
        <v>0</v>
      </c>
      <c r="D4" s="224">
        <f>C4*B4</f>
        <v>0</v>
      </c>
      <c r="E4" s="353">
        <f>'Cost Estimate'!B17</f>
        <v>0</v>
      </c>
      <c r="F4" s="354">
        <v>6</v>
      </c>
      <c r="G4" s="355">
        <f>IF(E4=0,F4*D4,(E4*F4))</f>
        <v>0</v>
      </c>
      <c r="H4" s="356">
        <f>G4/43560</f>
        <v>0</v>
      </c>
      <c r="J4" s="182"/>
    </row>
    <row r="5" spans="1:10" x14ac:dyDescent="0.2">
      <c r="A5" s="363">
        <v>1</v>
      </c>
      <c r="B5" s="364">
        <v>0</v>
      </c>
      <c r="C5" s="365">
        <v>0</v>
      </c>
      <c r="D5" s="224">
        <f t="shared" ref="D5:D15" si="0">C5*B5</f>
        <v>0</v>
      </c>
      <c r="E5" s="366">
        <v>0</v>
      </c>
      <c r="F5" s="354">
        <v>6</v>
      </c>
      <c r="G5" s="355">
        <f t="shared" ref="G5:G15" si="1">IF(E5=0,F5*D5,(E5*F5))</f>
        <v>0</v>
      </c>
      <c r="H5" s="356">
        <f t="shared" ref="H5:H15" si="2">G5/43560</f>
        <v>0</v>
      </c>
      <c r="J5" s="182"/>
    </row>
    <row r="6" spans="1:10" x14ac:dyDescent="0.2">
      <c r="A6" s="363">
        <v>1</v>
      </c>
      <c r="B6" s="364">
        <v>0</v>
      </c>
      <c r="C6" s="365">
        <v>0</v>
      </c>
      <c r="D6" s="224">
        <f t="shared" si="0"/>
        <v>0</v>
      </c>
      <c r="E6" s="366">
        <v>0</v>
      </c>
      <c r="F6" s="354">
        <v>6</v>
      </c>
      <c r="G6" s="355">
        <f t="shared" si="1"/>
        <v>0</v>
      </c>
      <c r="H6" s="356">
        <f t="shared" si="2"/>
        <v>0</v>
      </c>
      <c r="J6" s="182"/>
    </row>
    <row r="7" spans="1:10" x14ac:dyDescent="0.2">
      <c r="A7" s="363">
        <v>1</v>
      </c>
      <c r="B7" s="364">
        <v>0</v>
      </c>
      <c r="C7" s="365">
        <v>0</v>
      </c>
      <c r="D7" s="224">
        <f t="shared" si="0"/>
        <v>0</v>
      </c>
      <c r="E7" s="366">
        <v>0</v>
      </c>
      <c r="F7" s="354">
        <v>6</v>
      </c>
      <c r="G7" s="355">
        <f t="shared" si="1"/>
        <v>0</v>
      </c>
      <c r="H7" s="356">
        <f t="shared" si="2"/>
        <v>0</v>
      </c>
      <c r="J7" s="182"/>
    </row>
    <row r="8" spans="1:10" x14ac:dyDescent="0.2">
      <c r="A8" s="363">
        <v>1</v>
      </c>
      <c r="B8" s="364">
        <v>0</v>
      </c>
      <c r="C8" s="365">
        <v>0</v>
      </c>
      <c r="D8" s="224">
        <f t="shared" si="0"/>
        <v>0</v>
      </c>
      <c r="E8" s="366">
        <v>0</v>
      </c>
      <c r="F8" s="354">
        <v>6</v>
      </c>
      <c r="G8" s="355">
        <f t="shared" si="1"/>
        <v>0</v>
      </c>
      <c r="H8" s="356">
        <f t="shared" si="2"/>
        <v>0</v>
      </c>
      <c r="J8" s="182"/>
    </row>
    <row r="9" spans="1:10" x14ac:dyDescent="0.2">
      <c r="A9" s="363">
        <v>1</v>
      </c>
      <c r="B9" s="364">
        <v>0</v>
      </c>
      <c r="C9" s="365">
        <v>0</v>
      </c>
      <c r="D9" s="224">
        <f t="shared" si="0"/>
        <v>0</v>
      </c>
      <c r="E9" s="366">
        <v>0</v>
      </c>
      <c r="F9" s="354">
        <v>6</v>
      </c>
      <c r="G9" s="355">
        <f t="shared" si="1"/>
        <v>0</v>
      </c>
      <c r="H9" s="356">
        <f t="shared" si="2"/>
        <v>0</v>
      </c>
      <c r="J9" s="182"/>
    </row>
    <row r="10" spans="1:10" x14ac:dyDescent="0.2">
      <c r="A10" s="363">
        <v>1</v>
      </c>
      <c r="B10" s="364">
        <v>0</v>
      </c>
      <c r="C10" s="365">
        <v>0</v>
      </c>
      <c r="D10" s="224">
        <f t="shared" si="0"/>
        <v>0</v>
      </c>
      <c r="E10" s="366">
        <v>0</v>
      </c>
      <c r="F10" s="354">
        <v>6</v>
      </c>
      <c r="G10" s="355">
        <f t="shared" si="1"/>
        <v>0</v>
      </c>
      <c r="H10" s="356">
        <f t="shared" si="2"/>
        <v>0</v>
      </c>
      <c r="J10" s="182"/>
    </row>
    <row r="11" spans="1:10" x14ac:dyDescent="0.2">
      <c r="A11" s="363">
        <v>1</v>
      </c>
      <c r="B11" s="364">
        <v>0</v>
      </c>
      <c r="C11" s="365">
        <v>0</v>
      </c>
      <c r="D11" s="224">
        <f t="shared" si="0"/>
        <v>0</v>
      </c>
      <c r="E11" s="366">
        <v>0</v>
      </c>
      <c r="F11" s="354">
        <v>6</v>
      </c>
      <c r="G11" s="355">
        <f t="shared" si="1"/>
        <v>0</v>
      </c>
      <c r="H11" s="356">
        <f t="shared" si="2"/>
        <v>0</v>
      </c>
      <c r="J11" s="182"/>
    </row>
    <row r="12" spans="1:10" x14ac:dyDescent="0.2">
      <c r="A12" s="363">
        <v>1</v>
      </c>
      <c r="B12" s="364">
        <v>0</v>
      </c>
      <c r="C12" s="365">
        <v>0</v>
      </c>
      <c r="D12" s="224">
        <f t="shared" si="0"/>
        <v>0</v>
      </c>
      <c r="E12" s="366">
        <v>0</v>
      </c>
      <c r="F12" s="354">
        <v>6</v>
      </c>
      <c r="G12" s="355">
        <f t="shared" si="1"/>
        <v>0</v>
      </c>
      <c r="H12" s="356">
        <f t="shared" si="2"/>
        <v>0</v>
      </c>
      <c r="J12" s="182"/>
    </row>
    <row r="13" spans="1:10" x14ac:dyDescent="0.2">
      <c r="A13" s="363">
        <v>1</v>
      </c>
      <c r="B13" s="364">
        <v>0</v>
      </c>
      <c r="C13" s="365">
        <v>0</v>
      </c>
      <c r="D13" s="224">
        <f t="shared" si="0"/>
        <v>0</v>
      </c>
      <c r="E13" s="366">
        <v>0</v>
      </c>
      <c r="F13" s="354">
        <v>6</v>
      </c>
      <c r="G13" s="355">
        <f t="shared" si="1"/>
        <v>0</v>
      </c>
      <c r="H13" s="356">
        <f t="shared" si="2"/>
        <v>0</v>
      </c>
      <c r="J13" s="182"/>
    </row>
    <row r="14" spans="1:10" x14ac:dyDescent="0.2">
      <c r="A14" s="363">
        <v>1</v>
      </c>
      <c r="B14" s="364">
        <v>0</v>
      </c>
      <c r="C14" s="365">
        <v>0</v>
      </c>
      <c r="D14" s="224">
        <f t="shared" si="0"/>
        <v>0</v>
      </c>
      <c r="E14" s="366">
        <v>0</v>
      </c>
      <c r="F14" s="354">
        <v>6</v>
      </c>
      <c r="G14" s="355">
        <f t="shared" si="1"/>
        <v>0</v>
      </c>
      <c r="H14" s="356">
        <f t="shared" si="2"/>
        <v>0</v>
      </c>
      <c r="J14" s="182"/>
    </row>
    <row r="15" spans="1:10" x14ac:dyDescent="0.2">
      <c r="A15" s="363">
        <v>1</v>
      </c>
      <c r="B15" s="364">
        <v>0</v>
      </c>
      <c r="C15" s="365">
        <v>0</v>
      </c>
      <c r="D15" s="224">
        <f t="shared" si="0"/>
        <v>0</v>
      </c>
      <c r="E15" s="366">
        <v>0</v>
      </c>
      <c r="F15" s="354">
        <v>6</v>
      </c>
      <c r="G15" s="355">
        <f t="shared" si="1"/>
        <v>0</v>
      </c>
      <c r="H15" s="356">
        <f t="shared" si="2"/>
        <v>0</v>
      </c>
      <c r="J15" s="182"/>
    </row>
    <row r="16" spans="1:10" s="72" customFormat="1" x14ac:dyDescent="0.2">
      <c r="A16" s="66"/>
      <c r="B16" s="225"/>
      <c r="C16" s="226"/>
      <c r="D16" s="361"/>
      <c r="E16" s="228"/>
      <c r="F16" s="214"/>
      <c r="G16" s="357"/>
      <c r="H16" s="358"/>
      <c r="J16" s="362"/>
    </row>
    <row r="17" spans="1:10" x14ac:dyDescent="0.2">
      <c r="A17" s="4"/>
      <c r="B17" s="60"/>
      <c r="C17" s="7"/>
      <c r="D17" s="62">
        <f>SUM(D4:D16)</f>
        <v>0</v>
      </c>
      <c r="E17" s="62">
        <f>SUM(E4:E16)</f>
        <v>0</v>
      </c>
      <c r="F17" s="6"/>
      <c r="G17" s="359">
        <f>SUM(G4:G16)</f>
        <v>0</v>
      </c>
      <c r="H17" s="360">
        <f>SUM(H4:H16)</f>
        <v>0</v>
      </c>
      <c r="J17" s="69"/>
    </row>
  </sheetData>
  <sheetProtection password="DD80" sheet="1" objects="1" scenarios="1"/>
  <mergeCells count="2">
    <mergeCell ref="A1:H1"/>
    <mergeCell ref="A2:H2"/>
  </mergeCells>
  <phoneticPr fontId="17" type="noConversion"/>
  <printOptions horizontalCentered="1" verticalCentered="1" gridLines="1"/>
  <pageMargins left="0.75" right="0.75" top="1" bottom="1" header="0.5" footer="0.5"/>
  <pageSetup orientation="landscape" r:id="rId1"/>
  <headerFooter alignWithMargins="0">
    <oddHeader>&amp;C&amp;Z&amp;F&amp;R&amp;A</oddHeader>
    <oddFooter>&amp;LBLM Elko,Bergwall&amp;C&amp;P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O28"/>
  <sheetViews>
    <sheetView view="pageBreakPreview" zoomScale="75" zoomScaleNormal="100" workbookViewId="0">
      <selection activeCell="H10" sqref="H10"/>
    </sheetView>
  </sheetViews>
  <sheetFormatPr defaultRowHeight="12.75" x14ac:dyDescent="0.2"/>
  <cols>
    <col min="1" max="1" width="29.5703125" customWidth="1"/>
    <col min="2" max="2" width="12.85546875" customWidth="1"/>
    <col min="4" max="4" width="12.85546875" customWidth="1"/>
    <col min="5" max="5" width="11.140625" customWidth="1"/>
    <col min="6" max="6" width="9.28515625" customWidth="1"/>
    <col min="7" max="7" width="12.28515625" customWidth="1"/>
    <col min="12" max="12" width="14.5703125" customWidth="1"/>
  </cols>
  <sheetData>
    <row r="1" spans="1:15" ht="15" x14ac:dyDescent="0.2">
      <c r="A1" s="63" t="s">
        <v>252</v>
      </c>
    </row>
    <row r="2" spans="1:15" s="71" customFormat="1" ht="25.5" x14ac:dyDescent="0.2">
      <c r="A2" s="70" t="s">
        <v>4</v>
      </c>
      <c r="B2" s="70" t="s">
        <v>138</v>
      </c>
      <c r="C2" s="70" t="s">
        <v>159</v>
      </c>
      <c r="D2" s="70" t="s">
        <v>160</v>
      </c>
      <c r="E2" s="70" t="s">
        <v>161</v>
      </c>
      <c r="F2" s="70" t="s">
        <v>141</v>
      </c>
      <c r="G2" s="70" t="s">
        <v>162</v>
      </c>
      <c r="H2" s="70" t="s">
        <v>144</v>
      </c>
      <c r="I2" s="70" t="s">
        <v>148</v>
      </c>
      <c r="J2" s="70" t="s">
        <v>149</v>
      </c>
      <c r="K2" s="70" t="s">
        <v>150</v>
      </c>
      <c r="L2" s="70" t="s">
        <v>261</v>
      </c>
      <c r="M2" s="9" t="s">
        <v>189</v>
      </c>
      <c r="N2" s="9" t="s">
        <v>190</v>
      </c>
    </row>
    <row r="3" spans="1:15" s="71" customFormat="1" x14ac:dyDescent="0.2">
      <c r="A3" s="208" t="s">
        <v>192</v>
      </c>
      <c r="B3" s="70"/>
      <c r="C3" s="70"/>
      <c r="D3" s="70"/>
      <c r="E3" s="70"/>
      <c r="F3" s="70"/>
      <c r="G3" s="331">
        <v>2.73</v>
      </c>
      <c r="H3" s="205" t="s">
        <v>191</v>
      </c>
      <c r="I3" s="70"/>
      <c r="J3" s="70"/>
      <c r="K3" s="70"/>
      <c r="L3" s="209">
        <f>G3*2</f>
        <v>5.46</v>
      </c>
      <c r="M3" s="330">
        <v>0.5</v>
      </c>
      <c r="N3" s="330">
        <v>0.5</v>
      </c>
    </row>
    <row r="4" spans="1:15" x14ac:dyDescent="0.2">
      <c r="A4" s="72" t="s">
        <v>136</v>
      </c>
      <c r="B4" s="73" t="s">
        <v>139</v>
      </c>
      <c r="C4" s="74">
        <v>56.58</v>
      </c>
      <c r="D4" s="74">
        <v>71.625</v>
      </c>
      <c r="E4" s="74">
        <v>0</v>
      </c>
      <c r="F4" s="75">
        <f>E4+D4+C4</f>
        <v>128.20499999999998</v>
      </c>
      <c r="G4" s="76">
        <v>139</v>
      </c>
      <c r="H4" s="73" t="s">
        <v>145</v>
      </c>
      <c r="I4" s="77">
        <f>F4/G4</f>
        <v>0.92233812949640281</v>
      </c>
      <c r="J4" s="78"/>
      <c r="K4" s="78"/>
      <c r="L4" s="74">
        <v>559</v>
      </c>
      <c r="M4" s="219">
        <f>C4/(C4+D4)</f>
        <v>0.44132444132444137</v>
      </c>
      <c r="N4" s="219">
        <f>1-M4</f>
        <v>0.55867555867555863</v>
      </c>
      <c r="O4" s="204"/>
    </row>
    <row r="5" spans="1:15" x14ac:dyDescent="0.2">
      <c r="A5" s="72" t="s">
        <v>137</v>
      </c>
      <c r="B5" s="73" t="s">
        <v>139</v>
      </c>
      <c r="C5" s="74">
        <v>55.24</v>
      </c>
      <c r="D5" s="74">
        <v>83.875</v>
      </c>
      <c r="E5" s="74">
        <v>0</v>
      </c>
      <c r="F5" s="75">
        <f>E5+D5+C5</f>
        <v>139.11500000000001</v>
      </c>
      <c r="G5" s="79">
        <v>94</v>
      </c>
      <c r="H5" s="73" t="s">
        <v>145</v>
      </c>
      <c r="I5" s="77">
        <f>F5/G5</f>
        <v>1.4799468085106384</v>
      </c>
      <c r="J5" s="78"/>
      <c r="K5" s="78"/>
      <c r="L5" s="74">
        <v>660</v>
      </c>
      <c r="M5" s="219">
        <f t="shared" ref="M5:M11" si="0">C5/(C5+D5)</f>
        <v>0.3970815512345901</v>
      </c>
      <c r="N5" s="219">
        <f t="shared" ref="N5:N11" si="1">1-M5</f>
        <v>0.6029184487654099</v>
      </c>
      <c r="O5" s="204"/>
    </row>
    <row r="6" spans="1:15" x14ac:dyDescent="0.2">
      <c r="A6" s="72" t="s">
        <v>155</v>
      </c>
      <c r="B6" s="73" t="s">
        <v>139</v>
      </c>
      <c r="C6" s="74">
        <v>55.24</v>
      </c>
      <c r="D6" s="74">
        <v>113.5</v>
      </c>
      <c r="E6" s="74">
        <v>0</v>
      </c>
      <c r="F6" s="75">
        <f>E6+D6+C6</f>
        <v>168.74</v>
      </c>
      <c r="G6" s="79">
        <v>700</v>
      </c>
      <c r="H6" s="73" t="s">
        <v>145</v>
      </c>
      <c r="I6" s="77">
        <f>F6/G6</f>
        <v>0.24105714285714286</v>
      </c>
      <c r="J6" s="78"/>
      <c r="K6" s="78"/>
      <c r="L6" s="74">
        <v>798</v>
      </c>
      <c r="M6" s="219">
        <f t="shared" si="0"/>
        <v>0.32736754770653076</v>
      </c>
      <c r="N6" s="219">
        <f t="shared" si="1"/>
        <v>0.67263245229346924</v>
      </c>
      <c r="O6" s="204"/>
    </row>
    <row r="7" spans="1:15" x14ac:dyDescent="0.2">
      <c r="A7" s="72" t="s">
        <v>147</v>
      </c>
      <c r="B7" s="73" t="s">
        <v>140</v>
      </c>
      <c r="C7" s="74">
        <v>76</v>
      </c>
      <c r="D7" s="74">
        <v>64.5</v>
      </c>
      <c r="E7" s="74">
        <v>302.5</v>
      </c>
      <c r="F7" s="75">
        <f>E7+D7+C7</f>
        <v>443</v>
      </c>
      <c r="G7" s="79">
        <v>1</v>
      </c>
      <c r="H7" s="73" t="s">
        <v>140</v>
      </c>
      <c r="I7" s="78"/>
      <c r="J7" s="77">
        <f>F7</f>
        <v>443</v>
      </c>
      <c r="K7" s="78"/>
      <c r="L7" s="75">
        <f>$L$3*(C7+D7)</f>
        <v>767.13</v>
      </c>
      <c r="M7" s="219">
        <f t="shared" si="0"/>
        <v>0.54092526690391463</v>
      </c>
      <c r="N7" s="219">
        <f t="shared" si="1"/>
        <v>0.45907473309608537</v>
      </c>
      <c r="O7" s="204"/>
    </row>
    <row r="8" spans="1:15" x14ac:dyDescent="0.2">
      <c r="A8" s="72" t="s">
        <v>156</v>
      </c>
      <c r="B8" s="73" t="s">
        <v>139</v>
      </c>
      <c r="C8" s="74">
        <v>34.08</v>
      </c>
      <c r="D8" s="74">
        <v>0</v>
      </c>
      <c r="E8" s="74">
        <v>302.5</v>
      </c>
      <c r="F8" s="75">
        <f>C8+D8+E8</f>
        <v>336.58</v>
      </c>
      <c r="G8" s="80">
        <v>1.21</v>
      </c>
      <c r="H8" s="73" t="s">
        <v>157</v>
      </c>
      <c r="I8" s="78"/>
      <c r="J8" s="77">
        <f>F8/G8</f>
        <v>278.16528925619832</v>
      </c>
      <c r="K8" s="78"/>
      <c r="L8" s="75">
        <f>$L$3*(C8+D8)</f>
        <v>186.07679999999999</v>
      </c>
      <c r="M8" s="219">
        <f t="shared" si="0"/>
        <v>1</v>
      </c>
      <c r="N8" s="219">
        <f t="shared" si="1"/>
        <v>0</v>
      </c>
      <c r="O8" s="204"/>
    </row>
    <row r="9" spans="1:15" x14ac:dyDescent="0.2">
      <c r="A9" s="72" t="s">
        <v>142</v>
      </c>
      <c r="B9" s="73" t="s">
        <v>139</v>
      </c>
      <c r="C9" s="74">
        <f>56.06*3</f>
        <v>168.18</v>
      </c>
      <c r="D9" s="74">
        <v>348.75</v>
      </c>
      <c r="E9" s="74">
        <v>675</v>
      </c>
      <c r="F9" s="75">
        <f>E9+D9+C9</f>
        <v>1191.93</v>
      </c>
      <c r="G9" s="79">
        <v>61</v>
      </c>
      <c r="H9" s="73" t="s">
        <v>146</v>
      </c>
      <c r="I9" s="78"/>
      <c r="J9" s="78"/>
      <c r="K9" s="77">
        <f>F9/G9</f>
        <v>19.539836065573773</v>
      </c>
      <c r="L9" s="75">
        <f>$L$3*(C9+D9)</f>
        <v>2822.4378000000002</v>
      </c>
      <c r="M9" s="219">
        <f t="shared" si="0"/>
        <v>0.32534385700191515</v>
      </c>
      <c r="N9" s="219">
        <f t="shared" si="1"/>
        <v>0.67465614299808485</v>
      </c>
      <c r="O9" s="204"/>
    </row>
    <row r="10" spans="1:15" x14ac:dyDescent="0.2">
      <c r="A10" s="72" t="s">
        <v>143</v>
      </c>
      <c r="B10" s="73" t="s">
        <v>139</v>
      </c>
      <c r="C10" s="74">
        <f>C9</f>
        <v>168.18</v>
      </c>
      <c r="D10" s="74">
        <v>348.75</v>
      </c>
      <c r="E10" s="74">
        <v>0</v>
      </c>
      <c r="F10" s="75">
        <f>E10+D10+C10</f>
        <v>516.93000000000006</v>
      </c>
      <c r="G10" s="79">
        <v>240</v>
      </c>
      <c r="H10" s="73" t="s">
        <v>146</v>
      </c>
      <c r="I10" s="78"/>
      <c r="J10" s="78"/>
      <c r="K10" s="77">
        <f>F10/G10</f>
        <v>2.1538750000000002</v>
      </c>
      <c r="L10" s="75">
        <f>$L$3*(C10+D10)</f>
        <v>2822.4378000000002</v>
      </c>
      <c r="M10" s="219">
        <f t="shared" si="0"/>
        <v>0.32534385700191515</v>
      </c>
      <c r="N10" s="219">
        <f t="shared" si="1"/>
        <v>0.67465614299808485</v>
      </c>
      <c r="O10" s="204"/>
    </row>
    <row r="11" spans="1:15" x14ac:dyDescent="0.2">
      <c r="A11" s="72" t="s">
        <v>187</v>
      </c>
      <c r="B11" s="73" t="s">
        <v>139</v>
      </c>
      <c r="C11" s="74">
        <v>56.29</v>
      </c>
      <c r="D11" s="74">
        <v>31.375</v>
      </c>
      <c r="E11" s="74">
        <v>0</v>
      </c>
      <c r="F11" s="75">
        <f>E11+D11+C11</f>
        <v>87.664999999999992</v>
      </c>
      <c r="G11" s="87">
        <v>40</v>
      </c>
      <c r="H11" s="73" t="s">
        <v>146</v>
      </c>
      <c r="I11" s="77"/>
      <c r="J11" s="78"/>
      <c r="K11" s="77">
        <f>F11/G11</f>
        <v>2.1916249999999997</v>
      </c>
      <c r="L11" s="75">
        <f>$L$3*(C11+D11)</f>
        <v>478.65089999999998</v>
      </c>
      <c r="M11" s="219">
        <f t="shared" si="0"/>
        <v>0.64210346204300461</v>
      </c>
      <c r="N11" s="219">
        <f t="shared" si="1"/>
        <v>0.35789653795699539</v>
      </c>
      <c r="O11" s="204"/>
    </row>
    <row r="12" spans="1:15" x14ac:dyDescent="0.2">
      <c r="A12" s="72" t="s">
        <v>158</v>
      </c>
      <c r="B12" s="352" t="s">
        <v>149</v>
      </c>
      <c r="C12" s="74"/>
      <c r="D12" s="74"/>
      <c r="E12" s="74">
        <v>302.5</v>
      </c>
      <c r="F12" s="75"/>
      <c r="G12" s="79"/>
      <c r="H12" s="73"/>
      <c r="I12" s="78"/>
      <c r="J12" s="81">
        <f>E12</f>
        <v>302.5</v>
      </c>
      <c r="K12" s="77"/>
      <c r="L12" s="74"/>
      <c r="M12" s="219"/>
      <c r="N12" s="219"/>
      <c r="O12" s="204"/>
    </row>
    <row r="13" spans="1:15" x14ac:dyDescent="0.2">
      <c r="A13" s="72" t="s">
        <v>184</v>
      </c>
      <c r="B13" s="73" t="s">
        <v>139</v>
      </c>
      <c r="C13" s="74">
        <v>0</v>
      </c>
      <c r="D13" s="74">
        <v>81.73</v>
      </c>
      <c r="E13" s="74">
        <v>0</v>
      </c>
      <c r="F13" s="75">
        <f>E13+D13+C13</f>
        <v>81.73</v>
      </c>
      <c r="G13" s="72"/>
      <c r="H13" s="72"/>
      <c r="I13" s="72"/>
      <c r="J13" s="72"/>
      <c r="K13" s="72"/>
      <c r="L13" s="75">
        <f>$L$3*(C13+D13)</f>
        <v>446.24580000000003</v>
      </c>
      <c r="M13" s="219">
        <f>C13/(C13+D13)</f>
        <v>0</v>
      </c>
      <c r="N13" s="219">
        <f>1-M13</f>
        <v>1</v>
      </c>
      <c r="O13" s="204"/>
    </row>
    <row r="14" spans="1:15" x14ac:dyDescent="0.2">
      <c r="A14" s="72"/>
      <c r="B14" s="73"/>
      <c r="C14" s="74"/>
      <c r="D14" s="74"/>
      <c r="E14" s="74"/>
      <c r="F14" s="75"/>
      <c r="G14" s="72"/>
      <c r="H14" s="72"/>
      <c r="I14" s="72"/>
      <c r="J14" s="72"/>
      <c r="K14" s="72"/>
      <c r="L14" s="77"/>
    </row>
    <row r="15" spans="1:15" x14ac:dyDescent="0.2"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</row>
    <row r="16" spans="1:15" x14ac:dyDescent="0.2"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</row>
    <row r="17" spans="1:12" x14ac:dyDescent="0.2"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</row>
    <row r="18" spans="1:12" x14ac:dyDescent="0.2"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</row>
    <row r="25" spans="1:12" x14ac:dyDescent="0.2">
      <c r="A25" s="82" t="s">
        <v>125</v>
      </c>
    </row>
    <row r="26" spans="1:12" x14ac:dyDescent="0.2">
      <c r="A26" s="83" t="s">
        <v>128</v>
      </c>
    </row>
    <row r="27" spans="1:12" x14ac:dyDescent="0.2">
      <c r="A27" s="84" t="s">
        <v>126</v>
      </c>
    </row>
    <row r="28" spans="1:12" x14ac:dyDescent="0.2">
      <c r="A28" s="85" t="s">
        <v>127</v>
      </c>
    </row>
  </sheetData>
  <sheetProtection password="C7C2" sheet="1"/>
  <phoneticPr fontId="17" type="noConversion"/>
  <printOptions horizontalCentered="1" verticalCentered="1" gridLines="1"/>
  <pageMargins left="0.75" right="0.75" top="1" bottom="1" header="0.5" footer="0.5"/>
  <pageSetup scale="74" orientation="landscape" r:id="rId1"/>
  <headerFooter alignWithMargins="0">
    <oddHeader>&amp;Z&amp;F&amp;RPage &amp;P</oddHeader>
    <oddFooter>&amp;LFrank Bergwall&amp;CPage 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Cost Estimate</vt:lpstr>
      <vt:lpstr>Roads</vt:lpstr>
      <vt:lpstr>Drill Sites</vt:lpstr>
      <vt:lpstr>Sumps</vt:lpstr>
      <vt:lpstr>Trenches</vt:lpstr>
      <vt:lpstr>X-country</vt:lpstr>
      <vt:lpstr>LaborEquipMatls</vt:lpstr>
      <vt:lpstr>'Cost Estimate'!Print_Area</vt:lpstr>
      <vt:lpstr>'Drill Sites'!Print_Area</vt:lpstr>
      <vt:lpstr>LaborEquipMatls!Print_Area</vt:lpstr>
      <vt:lpstr>Roads!Print_Area</vt:lpstr>
      <vt:lpstr>Sumps!Print_Area</vt:lpstr>
      <vt:lpstr>Trenches!Print_Area</vt:lpstr>
      <vt:lpstr>'X-country'!Print_Area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David R</dc:creator>
  <cp:lastModifiedBy>Daniel Atkinson</cp:lastModifiedBy>
  <cp:lastPrinted>2018-08-02T18:20:14Z</cp:lastPrinted>
  <dcterms:created xsi:type="dcterms:W3CDTF">2002-02-09T00:54:01Z</dcterms:created>
  <dcterms:modified xsi:type="dcterms:W3CDTF">2021-07-30T21:48:12Z</dcterms:modified>
</cp:coreProperties>
</file>